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C:\Users\Acer computer\Desktop\"/>
    </mc:Choice>
  </mc:AlternateContent>
  <xr:revisionPtr revIDLastSave="0" documentId="8_{635236AC-CC5A-425E-89C3-89D6D2D61421}" xr6:coauthVersionLast="36" xr6:coauthVersionMax="36" xr10:uidLastSave="{00000000-0000-0000-0000-000000000000}"/>
  <bookViews>
    <workbookView xWindow="0" yWindow="0" windowWidth="24000" windowHeight="10920" tabRatio="897" firstSheet="7" activeTab="18" xr2:uid="{00000000-000D-0000-FFFF-FFFF00000000}"/>
  </bookViews>
  <sheets>
    <sheet name="(1) BS" sheetId="2" r:id="rId1"/>
    <sheet name="(2) IE" sheetId="1" r:id="rId2"/>
    <sheet name="(3) sch1&amp;2" sheetId="3" r:id="rId3"/>
    <sheet name="(4) sch3" sheetId="4" r:id="rId4"/>
    <sheet name="(5) Sub Sch. to Sch. 3" sheetId="41" r:id="rId5"/>
    <sheet name="(6) sch4" sheetId="6" r:id="rId6"/>
    <sheet name="(7) Sub Sch. to Sch. 4" sheetId="42" r:id="rId7"/>
    <sheet name="(8) sch-5" sheetId="8" r:id="rId8"/>
    <sheet name="(9) 5-A" sheetId="9" r:id="rId9"/>
    <sheet name="(10) 5-B" sheetId="11" r:id="rId10"/>
    <sheet name="(11) 5-C" sheetId="12" r:id="rId11"/>
    <sheet name="(12) 5-D" sheetId="13" r:id="rId12"/>
    <sheet name="(13) 5-E" sheetId="14" r:id="rId13"/>
    <sheet name="(14) 5-X" sheetId="15" r:id="rId14"/>
    <sheet name="(15) sch6" sheetId="16" r:id="rId15"/>
    <sheet name="(16) sch7" sheetId="17" r:id="rId16"/>
    <sheet name="(17) 7b" sheetId="18" r:id="rId17"/>
    <sheet name="(18) Annex. to Sch. 7" sheetId="43" r:id="rId18"/>
    <sheet name="(19) Annex. to Sch. 7A" sheetId="51" r:id="rId19"/>
    <sheet name="(20) Annex. to Sch. 7B" sheetId="52" r:id="rId20"/>
    <sheet name="(21) Annex.to Sch.7C" sheetId="70" r:id="rId21"/>
    <sheet name="(22) sch8" sheetId="20" r:id="rId22"/>
    <sheet name="(23) Sch9 (FINAL)" sheetId="21" r:id="rId23"/>
    <sheet name="(24) 9A" sheetId="22" r:id="rId24"/>
    <sheet name="(25) Annex. to Sch. 9A-1" sheetId="44" r:id="rId25"/>
    <sheet name="(26) 9B (Final)" sheetId="24" r:id="rId26"/>
    <sheet name="9B" sheetId="25" state="hidden" r:id="rId27"/>
    <sheet name="(27) PFMS Scheme Code" sheetId="50" r:id="rId28"/>
    <sheet name="(28) Sch10" sheetId="26" r:id="rId29"/>
    <sheet name="(29) Sch11" sheetId="27" r:id="rId30"/>
    <sheet name="(30) Sch12" sheetId="28" r:id="rId31"/>
    <sheet name="(31) Sch13" sheetId="29" r:id="rId32"/>
    <sheet name="(32) Sch14" sheetId="30" r:id="rId33"/>
    <sheet name="(33) Sch15 " sheetId="31" r:id="rId34"/>
    <sheet name="(34) Sch16" sheetId="32" r:id="rId35"/>
    <sheet name="(35) Sch17" sheetId="33" r:id="rId36"/>
    <sheet name="(36) Sch18" sheetId="34" r:id="rId37"/>
    <sheet name="Annx to Sch.18" sheetId="82" r:id="rId38"/>
    <sheet name="(37) Sch. 19" sheetId="35" r:id="rId39"/>
    <sheet name="(38) Annex. to Sch. 19" sheetId="45" r:id="rId40"/>
    <sheet name="(39) Sch20" sheetId="37" r:id="rId41"/>
    <sheet name="(40) Sch21" sheetId="38" r:id="rId42"/>
    <sheet name="(41) Sch 23" sheetId="46" r:id="rId43"/>
    <sheet name="Contents" sheetId="40" state="hidden" r:id="rId44"/>
    <sheet name="(42) R&amp;P (New)" sheetId="53" r:id="rId45"/>
    <sheet name="(43) R&amp;P New Annex." sheetId="54" r:id="rId46"/>
    <sheet name="(44) R&amp;P Old" sheetId="55" r:id="rId47"/>
    <sheet name="(45) Annex. A" sheetId="56" r:id="rId48"/>
    <sheet name="(46) Annex. B" sheetId="57" r:id="rId49"/>
    <sheet name="(47) Annex.C" sheetId="58" r:id="rId50"/>
    <sheet name="(48) Annex.D" sheetId="80" r:id="rId51"/>
    <sheet name="(49) Annex. E" sheetId="59" r:id="rId52"/>
    <sheet name="(50) Annex. F" sheetId="60" r:id="rId53"/>
    <sheet name="(51) Annex. G" sheetId="61" r:id="rId54"/>
    <sheet name="Format of BRS (51)" sheetId="75" r:id="rId55"/>
    <sheet name="Ann.(I)" sheetId="72" r:id="rId56"/>
    <sheet name="Ann.(II)" sheetId="74" r:id="rId57"/>
    <sheet name="(52) Format of TSA" sheetId="71" r:id="rId58"/>
    <sheet name="Ann.I" sheetId="79" r:id="rId59"/>
    <sheet name="Ann.II" sheetId="78" r:id="rId60"/>
    <sheet name="Ann.III" sheetId="77" r:id="rId61"/>
    <sheet name="Ann.IV" sheetId="76" r:id="rId62"/>
    <sheet name="(53) Worksheet Expenses" sheetId="62" r:id="rId63"/>
    <sheet name="(54) Worksheet Income" sheetId="63" r:id="rId64"/>
    <sheet name="(55) W1" sheetId="64" r:id="rId65"/>
    <sheet name="(56) W2" sheetId="65" r:id="rId66"/>
    <sheet name="(57) W3" sheetId="66" r:id="rId67"/>
    <sheet name="(58) W4" sheetId="67" r:id="rId68"/>
    <sheet name="(59) W5" sheetId="68" r:id="rId69"/>
    <sheet name="(60) W6" sheetId="69" r:id="rId70"/>
    <sheet name="Sheet1" sheetId="83" r:id="rId71"/>
  </sheets>
  <definedNames>
    <definedName name="_xlnm._FilterDatabase" localSheetId="6" hidden="1">'(7) Sub Sch. to Sch. 4'!$A$1:$A$317</definedName>
    <definedName name="_xlnm.Print_Area" localSheetId="0">'(1) BS'!$A$1:$D$35</definedName>
    <definedName name="_xlnm.Print_Area" localSheetId="9">'(10) 5-B'!$A$1:$K$52</definedName>
    <definedName name="_xlnm.Print_Area" localSheetId="10">'(11) 5-C'!$A$1:$K$51</definedName>
    <definedName name="_xlnm.Print_Area" localSheetId="11">'(12) 5-D'!$A$1:$K$51</definedName>
    <definedName name="_xlnm.Print_Area" localSheetId="12">'(13) 5-E'!$A$1:$L$51</definedName>
    <definedName name="_xlnm.Print_Area" localSheetId="13">'(14) 5-X'!$A$1:$K$50</definedName>
    <definedName name="_xlnm.Print_Area" localSheetId="14">'(15) sch6'!$A$1:$D$18</definedName>
    <definedName name="_xlnm.Print_Area" localSheetId="15">'(16) sch7'!$A$1:$C$34</definedName>
    <definedName name="_xlnm.Print_Area" localSheetId="16">'(17) 7b'!$A$1:$C$51</definedName>
    <definedName name="_xlnm.Print_Area" localSheetId="18">'(19) Annex. to Sch. 7A'!$A$1:$I$13</definedName>
    <definedName name="_xlnm.Print_Area" localSheetId="1">'(2) IE'!$A$1:$D$34</definedName>
    <definedName name="_xlnm.Print_Area" localSheetId="19">'(20) Annex. to Sch. 7B'!$A$1:$I$30</definedName>
    <definedName name="_xlnm.Print_Area" localSheetId="21">'(22) sch8'!$A$1:$C$32</definedName>
    <definedName name="_xlnm.Print_Area" localSheetId="22">'(23) Sch9 (FINAL)'!$A$1:$C$35</definedName>
    <definedName name="_xlnm.Print_Area" localSheetId="23">'(24) 9A'!$A$1:$H$35</definedName>
    <definedName name="_xlnm.Print_Area" localSheetId="24">'(25) Annex. to Sch. 9A-1'!$A$1:$Q$46</definedName>
    <definedName name="_xlnm.Print_Area" localSheetId="25">'(26) 9B (Final)'!$A$1:$F$27</definedName>
    <definedName name="_xlnm.Print_Area" localSheetId="28">'(28) Sch10'!$A$1:$C$23</definedName>
    <definedName name="_xlnm.Print_Area" localSheetId="29">'(29) Sch11'!$A$1:$E$18</definedName>
    <definedName name="_xlnm.Print_Area" localSheetId="2">'(3) sch1&amp;2'!$A$1:$F$32</definedName>
    <definedName name="_xlnm.Print_Area" localSheetId="30">'(30) Sch12'!$A$1:$D$15</definedName>
    <definedName name="_xlnm.Print_Area" localSheetId="31">'(31) Sch13'!$A$1:$C$30</definedName>
    <definedName name="_xlnm.Print_Area" localSheetId="32">'(32) Sch14'!$A$1:$C$28</definedName>
    <definedName name="_xlnm.Print_Area" localSheetId="33">'(33) Sch15 '!$A$1:$C$16</definedName>
    <definedName name="_xlnm.Print_Area" localSheetId="34">'(34) Sch16'!$A$1:$I$30</definedName>
    <definedName name="_xlnm.Print_Area" localSheetId="35">'(35) Sch17'!$A$1:$J$50</definedName>
    <definedName name="_xlnm.Print_Area" localSheetId="36">'(36) Sch18'!$A$1:$J$50</definedName>
    <definedName name="_xlnm.Print_Area" localSheetId="38">'(37) Sch. 19'!$A$1:$G$21</definedName>
    <definedName name="_xlnm.Print_Area" localSheetId="40">'(39) Sch20'!$A$1:$L$29</definedName>
    <definedName name="_xlnm.Print_Area" localSheetId="3">'(4) sch3'!$A$1:$E$28</definedName>
    <definedName name="_xlnm.Print_Area" localSheetId="41">'(40) Sch21'!$A$1:$C$16</definedName>
    <definedName name="_xlnm.Print_Area" localSheetId="42">'(41) Sch 23'!$A$1:$D$28</definedName>
    <definedName name="_xlnm.Print_Area" localSheetId="44">'(42) R&amp;P (New)'!$A$1:$F$49</definedName>
    <definedName name="_xlnm.Print_Area" localSheetId="46">'(44) R&amp;P Old'!$A$1:$G$57</definedName>
    <definedName name="_xlnm.Print_Area" localSheetId="47">'(45) Annex. A'!$A$1:$C$41</definedName>
    <definedName name="_xlnm.Print_Area" localSheetId="48">'(46) Annex. B'!$A$1:$K$61</definedName>
    <definedName name="_xlnm.Print_Area" localSheetId="50">'(48) Annex.D'!$A$1:$P$20</definedName>
    <definedName name="_xlnm.Print_Area" localSheetId="4">'(5) Sub Sch. to Sch. 3'!$A$1:$J$21</definedName>
    <definedName name="_xlnm.Print_Area" localSheetId="53">'(51) Annex. G'!$A$1:$I$49</definedName>
    <definedName name="_xlnm.Print_Area" localSheetId="57">'(52) Format of TSA'!$A$1:$C$17</definedName>
    <definedName name="_xlnm.Print_Area" localSheetId="5">'(6) sch4'!$A$1:$C$39</definedName>
    <definedName name="_xlnm.Print_Area" localSheetId="6">'(7) Sub Sch. to Sch. 4'!$A$1:$K$301</definedName>
    <definedName name="_xlnm.Print_Area" localSheetId="7">'(8) sch-5'!$A$1:$K$51</definedName>
    <definedName name="_xlnm.Print_Area" localSheetId="8">'(9) 5-A'!$A$1:$L$58</definedName>
    <definedName name="_xlnm.Print_Area" localSheetId="26">'9B'!$A$1:$F$28</definedName>
    <definedName name="_xlnm.Print_Area" localSheetId="55">'Ann.(I)'!$A$1:$D$26</definedName>
    <definedName name="_xlnm.Print_Area" localSheetId="60">Ann.III!$A$1:$D$15</definedName>
    <definedName name="_xlnm.Print_Area" localSheetId="61">Ann.IV!$A$1:$G$60</definedName>
    <definedName name="_xlnm.Print_Area" localSheetId="43">Contents!$B$1:$D$10</definedName>
    <definedName name="_xlnm.Print_Area">#REF!</definedName>
    <definedName name="PRINT_AREA_MI" localSheetId="7">#REF!</definedName>
    <definedName name="PRINT_AREA_MI">#REF!</definedName>
    <definedName name="Z_789595AE_36A2_4B02_81C2_3D94932E7381_.wvu.Cols" localSheetId="14" hidden="1">'(15) sch6'!$D:$D</definedName>
    <definedName name="Z_789595AE_36A2_4B02_81C2_3D94932E7381_.wvu.Cols" localSheetId="22" hidden="1">'(23) Sch9 (FINAL)'!$D:$D</definedName>
    <definedName name="Z_789595AE_36A2_4B02_81C2_3D94932E7381_.wvu.Cols" localSheetId="30" hidden="1">'(30) Sch12'!$D:$D</definedName>
    <definedName name="Z_789595AE_36A2_4B02_81C2_3D94932E7381_.wvu.PrintArea" localSheetId="0" hidden="1">'(1) BS'!$A$1:$D$35</definedName>
    <definedName name="Z_789595AE_36A2_4B02_81C2_3D94932E7381_.wvu.PrintArea" localSheetId="9" hidden="1">'(10) 5-B'!$A$1:$K$52</definedName>
    <definedName name="Z_789595AE_36A2_4B02_81C2_3D94932E7381_.wvu.PrintArea" localSheetId="10" hidden="1">'(11) 5-C'!$A$1:$K$51</definedName>
    <definedName name="Z_789595AE_36A2_4B02_81C2_3D94932E7381_.wvu.PrintArea" localSheetId="11" hidden="1">'(12) 5-D'!$A$1:$K$51</definedName>
    <definedName name="Z_789595AE_36A2_4B02_81C2_3D94932E7381_.wvu.PrintArea" localSheetId="12" hidden="1">'(13) 5-E'!$A$1:$K$51</definedName>
    <definedName name="Z_789595AE_36A2_4B02_81C2_3D94932E7381_.wvu.PrintArea" localSheetId="13" hidden="1">'(14) 5-X'!$A$1:$K$49</definedName>
    <definedName name="Z_789595AE_36A2_4B02_81C2_3D94932E7381_.wvu.PrintArea" localSheetId="14" hidden="1">'(15) sch6'!$A$1:$D$18</definedName>
    <definedName name="Z_789595AE_36A2_4B02_81C2_3D94932E7381_.wvu.PrintArea" localSheetId="15" hidden="1">'(16) sch7'!$A$1:$C$34</definedName>
    <definedName name="Z_789595AE_36A2_4B02_81C2_3D94932E7381_.wvu.PrintArea" localSheetId="16" hidden="1">'(17) 7b'!$A$1:$C$51</definedName>
    <definedName name="Z_789595AE_36A2_4B02_81C2_3D94932E7381_.wvu.PrintArea" localSheetId="1" hidden="1">'(2) IE'!$A$1:$D$34</definedName>
    <definedName name="Z_789595AE_36A2_4B02_81C2_3D94932E7381_.wvu.PrintArea" localSheetId="21" hidden="1">'(22) sch8'!$A$1:$C$32</definedName>
    <definedName name="Z_789595AE_36A2_4B02_81C2_3D94932E7381_.wvu.PrintArea" localSheetId="22" hidden="1">'(23) Sch9 (FINAL)'!$A$1:$C$34</definedName>
    <definedName name="Z_789595AE_36A2_4B02_81C2_3D94932E7381_.wvu.PrintArea" localSheetId="23" hidden="1">'(24) 9A'!$A$1:$H$35</definedName>
    <definedName name="Z_789595AE_36A2_4B02_81C2_3D94932E7381_.wvu.PrintArea" localSheetId="25" hidden="1">'(26) 9B (Final)'!$A$1:$E$27</definedName>
    <definedName name="Z_789595AE_36A2_4B02_81C2_3D94932E7381_.wvu.PrintArea" localSheetId="28" hidden="1">'(28) Sch10'!$A$1:$C$23</definedName>
    <definedName name="Z_789595AE_36A2_4B02_81C2_3D94932E7381_.wvu.PrintArea" localSheetId="29" hidden="1">'(29) Sch11'!$A$1:$E$18</definedName>
    <definedName name="Z_789595AE_36A2_4B02_81C2_3D94932E7381_.wvu.PrintArea" localSheetId="2" hidden="1">'(3) sch1&amp;2'!$A$1:$F$22</definedName>
    <definedName name="Z_789595AE_36A2_4B02_81C2_3D94932E7381_.wvu.PrintArea" localSheetId="30" hidden="1">'(30) Sch12'!$A$1:$D$15</definedName>
    <definedName name="Z_789595AE_36A2_4B02_81C2_3D94932E7381_.wvu.PrintArea" localSheetId="31" hidden="1">'(31) Sch13'!$A$1:$C$29</definedName>
    <definedName name="Z_789595AE_36A2_4B02_81C2_3D94932E7381_.wvu.PrintArea" localSheetId="32" hidden="1">'(32) Sch14'!$A$1:$C$28</definedName>
    <definedName name="Z_789595AE_36A2_4B02_81C2_3D94932E7381_.wvu.PrintArea" localSheetId="33" hidden="1">'(33) Sch15 '!$A$1:$C$16</definedName>
    <definedName name="Z_789595AE_36A2_4B02_81C2_3D94932E7381_.wvu.PrintArea" localSheetId="34" hidden="1">'(34) Sch16'!$A$1:$I$21</definedName>
    <definedName name="Z_789595AE_36A2_4B02_81C2_3D94932E7381_.wvu.PrintArea" localSheetId="35" hidden="1">'(35) Sch17'!$A$1:$J$38</definedName>
    <definedName name="Z_789595AE_36A2_4B02_81C2_3D94932E7381_.wvu.PrintArea" localSheetId="36" hidden="1">'(36) Sch18'!$A$1:$J$50</definedName>
    <definedName name="Z_789595AE_36A2_4B02_81C2_3D94932E7381_.wvu.PrintArea" localSheetId="40" hidden="1">'(39) Sch20'!$A$1:$L$26</definedName>
    <definedName name="Z_789595AE_36A2_4B02_81C2_3D94932E7381_.wvu.PrintArea" localSheetId="3" hidden="1">'(4) sch3'!$A$1:$E$28</definedName>
    <definedName name="Z_789595AE_36A2_4B02_81C2_3D94932E7381_.wvu.PrintArea" localSheetId="41" hidden="1">'(40) Sch21'!$A$1:$C$16</definedName>
    <definedName name="Z_789595AE_36A2_4B02_81C2_3D94932E7381_.wvu.PrintArea" localSheetId="5" hidden="1">'(6) sch4'!$A$1:$C$39</definedName>
    <definedName name="Z_789595AE_36A2_4B02_81C2_3D94932E7381_.wvu.PrintArea" localSheetId="7" hidden="1">'(8) sch-5'!$A$1:$K$51</definedName>
    <definedName name="Z_789595AE_36A2_4B02_81C2_3D94932E7381_.wvu.PrintArea" localSheetId="8" hidden="1">'(9) 5-A'!$A$1:$K$52</definedName>
    <definedName name="Z_789595AE_36A2_4B02_81C2_3D94932E7381_.wvu.PrintArea" localSheetId="26" hidden="1">'9B'!$A$1:$F$28</definedName>
    <definedName name="Z_789595AE_36A2_4B02_81C2_3D94932E7381_.wvu.PrintArea" localSheetId="43" hidden="1">Contents!$B$1:$D$10</definedName>
    <definedName name="Z_789595AE_36A2_4B02_81C2_3D94932E7381_.wvu.Rows" localSheetId="12" hidden="1">'(13) 5-E'!$55:$55</definedName>
    <definedName name="Z_789595AE_36A2_4B02_81C2_3D94932E7381_.wvu.Rows" localSheetId="26" hidden="1">'9B'!$11:$11</definedName>
    <definedName name="Z_B1076A3F_74CA_4685_9B64_0249438E4A9A_.wvu.Cols" localSheetId="14" hidden="1">'(15) sch6'!$D:$D</definedName>
    <definedName name="Z_B1076A3F_74CA_4685_9B64_0249438E4A9A_.wvu.Cols" localSheetId="22" hidden="1">'(23) Sch9 (FINAL)'!$D:$D</definedName>
    <definedName name="Z_B1076A3F_74CA_4685_9B64_0249438E4A9A_.wvu.Cols" localSheetId="30" hidden="1">'(30) Sch12'!$D:$D</definedName>
    <definedName name="Z_B1076A3F_74CA_4685_9B64_0249438E4A9A_.wvu.PrintArea" localSheetId="0" hidden="1">'(1) BS'!$A$1:$D$35</definedName>
    <definedName name="Z_B1076A3F_74CA_4685_9B64_0249438E4A9A_.wvu.PrintArea" localSheetId="9" hidden="1">'(10) 5-B'!$A$1:$K$52</definedName>
    <definedName name="Z_B1076A3F_74CA_4685_9B64_0249438E4A9A_.wvu.PrintArea" localSheetId="10" hidden="1">'(11) 5-C'!$A$1:$K$51</definedName>
    <definedName name="Z_B1076A3F_74CA_4685_9B64_0249438E4A9A_.wvu.PrintArea" localSheetId="11" hidden="1">'(12) 5-D'!$A$1:$K$51</definedName>
    <definedName name="Z_B1076A3F_74CA_4685_9B64_0249438E4A9A_.wvu.PrintArea" localSheetId="12" hidden="1">'(13) 5-E'!$A$1:$K$51</definedName>
    <definedName name="Z_B1076A3F_74CA_4685_9B64_0249438E4A9A_.wvu.PrintArea" localSheetId="13" hidden="1">'(14) 5-X'!$A$1:$K$49</definedName>
    <definedName name="Z_B1076A3F_74CA_4685_9B64_0249438E4A9A_.wvu.PrintArea" localSheetId="14" hidden="1">'(15) sch6'!$A$1:$D$18</definedName>
    <definedName name="Z_B1076A3F_74CA_4685_9B64_0249438E4A9A_.wvu.PrintArea" localSheetId="15" hidden="1">'(16) sch7'!$A$1:$C$34</definedName>
    <definedName name="Z_B1076A3F_74CA_4685_9B64_0249438E4A9A_.wvu.PrintArea" localSheetId="16" hidden="1">'(17) 7b'!$A$1:$C$51</definedName>
    <definedName name="Z_B1076A3F_74CA_4685_9B64_0249438E4A9A_.wvu.PrintArea" localSheetId="1" hidden="1">'(2) IE'!$A$1:$D$34</definedName>
    <definedName name="Z_B1076A3F_74CA_4685_9B64_0249438E4A9A_.wvu.PrintArea" localSheetId="21" hidden="1">'(22) sch8'!$A$1:$C$32</definedName>
    <definedName name="Z_B1076A3F_74CA_4685_9B64_0249438E4A9A_.wvu.PrintArea" localSheetId="22" hidden="1">'(23) Sch9 (FINAL)'!$A$1:$C$34</definedName>
    <definedName name="Z_B1076A3F_74CA_4685_9B64_0249438E4A9A_.wvu.PrintArea" localSheetId="23" hidden="1">'(24) 9A'!$A$1:$H$35</definedName>
    <definedName name="Z_B1076A3F_74CA_4685_9B64_0249438E4A9A_.wvu.PrintArea" localSheetId="25" hidden="1">'(26) 9B (Final)'!$A$1:$E$27</definedName>
    <definedName name="Z_B1076A3F_74CA_4685_9B64_0249438E4A9A_.wvu.PrintArea" localSheetId="28" hidden="1">'(28) Sch10'!$A$1:$C$23</definedName>
    <definedName name="Z_B1076A3F_74CA_4685_9B64_0249438E4A9A_.wvu.PrintArea" localSheetId="29" hidden="1">'(29) Sch11'!$A$1:$E$18</definedName>
    <definedName name="Z_B1076A3F_74CA_4685_9B64_0249438E4A9A_.wvu.PrintArea" localSheetId="2" hidden="1">'(3) sch1&amp;2'!$A$1:$F$22</definedName>
    <definedName name="Z_B1076A3F_74CA_4685_9B64_0249438E4A9A_.wvu.PrintArea" localSheetId="30" hidden="1">'(30) Sch12'!$A$1:$D$15</definedName>
    <definedName name="Z_B1076A3F_74CA_4685_9B64_0249438E4A9A_.wvu.PrintArea" localSheetId="31" hidden="1">'(31) Sch13'!$A$1:$C$29</definedName>
    <definedName name="Z_B1076A3F_74CA_4685_9B64_0249438E4A9A_.wvu.PrintArea" localSheetId="32" hidden="1">'(32) Sch14'!$A$1:$C$28</definedName>
    <definedName name="Z_B1076A3F_74CA_4685_9B64_0249438E4A9A_.wvu.PrintArea" localSheetId="33" hidden="1">'(33) Sch15 '!$A$1:$C$16</definedName>
    <definedName name="Z_B1076A3F_74CA_4685_9B64_0249438E4A9A_.wvu.PrintArea" localSheetId="34" hidden="1">'(34) Sch16'!$A$1:$I$21</definedName>
    <definedName name="Z_B1076A3F_74CA_4685_9B64_0249438E4A9A_.wvu.PrintArea" localSheetId="35" hidden="1">'(35) Sch17'!$A$1:$J$38</definedName>
    <definedName name="Z_B1076A3F_74CA_4685_9B64_0249438E4A9A_.wvu.PrintArea" localSheetId="36" hidden="1">'(36) Sch18'!$A$1:$J$50</definedName>
    <definedName name="Z_B1076A3F_74CA_4685_9B64_0249438E4A9A_.wvu.PrintArea" localSheetId="40" hidden="1">'(39) Sch20'!$A$1:$L$26</definedName>
    <definedName name="Z_B1076A3F_74CA_4685_9B64_0249438E4A9A_.wvu.PrintArea" localSheetId="3" hidden="1">'(4) sch3'!$A$1:$E$28</definedName>
    <definedName name="Z_B1076A3F_74CA_4685_9B64_0249438E4A9A_.wvu.PrintArea" localSheetId="41" hidden="1">'(40) Sch21'!$A$1:$C$16</definedName>
    <definedName name="Z_B1076A3F_74CA_4685_9B64_0249438E4A9A_.wvu.PrintArea" localSheetId="5" hidden="1">'(6) sch4'!$A$1:$C$39</definedName>
    <definedName name="Z_B1076A3F_74CA_4685_9B64_0249438E4A9A_.wvu.PrintArea" localSheetId="7" hidden="1">'(8) sch-5'!$A$1:$K$51</definedName>
    <definedName name="Z_B1076A3F_74CA_4685_9B64_0249438E4A9A_.wvu.PrintArea" localSheetId="8" hidden="1">'(9) 5-A'!$A$1:$K$52</definedName>
    <definedName name="Z_B1076A3F_74CA_4685_9B64_0249438E4A9A_.wvu.PrintArea" localSheetId="26" hidden="1">'9B'!$A$1:$F$28</definedName>
    <definedName name="Z_B1076A3F_74CA_4685_9B64_0249438E4A9A_.wvu.PrintArea" localSheetId="43" hidden="1">Contents!$B$1:$D$10</definedName>
    <definedName name="Z_B1076A3F_74CA_4685_9B64_0249438E4A9A_.wvu.Rows" localSheetId="12" hidden="1">'(13) 5-E'!$55:$55</definedName>
    <definedName name="Z_B1076A3F_74CA_4685_9B64_0249438E4A9A_.wvu.Rows" localSheetId="26" hidden="1">'9B'!$11:$11</definedName>
  </definedNames>
  <calcPr calcId="191029"/>
  <customWorkbookViews>
    <customWorkbookView name="Sunita - Personal View" guid="{B1076A3F-74CA-4685-9B64-0249438E4A9A}" personalView="1" maximized="1" xWindow="1" yWindow="1" windowWidth="1440" windowHeight="670" activeSheetId="34"/>
    <customWorkbookView name="user - Personal View" guid="{789595AE-36A2-4B02-81C2-3D94932E7381}" personalView="1" xWindow="1" yWindow="4" windowWidth="1365" windowHeight="724" activeSheetId="3"/>
  </customWorkbookViews>
</workbook>
</file>

<file path=xl/calcChain.xml><?xml version="1.0" encoding="utf-8"?>
<calcChain xmlns="http://schemas.openxmlformats.org/spreadsheetml/2006/main">
  <c r="K46" i="15" l="1"/>
  <c r="D17" i="24" l="1"/>
  <c r="O44" i="9"/>
  <c r="O15" i="9"/>
  <c r="L298" i="42" l="1"/>
  <c r="D71" i="54" l="1"/>
  <c r="E34" i="53" s="1"/>
  <c r="C20" i="37"/>
  <c r="C60" i="62" s="1"/>
  <c r="D297" i="42" l="1"/>
  <c r="F297" i="42"/>
  <c r="G297" i="42"/>
  <c r="I297" i="42"/>
  <c r="J297" i="42"/>
  <c r="C297" i="42"/>
  <c r="C246" i="42"/>
  <c r="H296" i="42"/>
  <c r="E296" i="42"/>
  <c r="K296" i="42" s="1"/>
  <c r="H295" i="42"/>
  <c r="E295" i="42"/>
  <c r="K295" i="42" s="1"/>
  <c r="H294" i="42"/>
  <c r="E294" i="42"/>
  <c r="K294" i="42" s="1"/>
  <c r="H293" i="42"/>
  <c r="E293" i="42"/>
  <c r="K293" i="42" s="1"/>
  <c r="H292" i="42"/>
  <c r="E292" i="42"/>
  <c r="K292" i="42" s="1"/>
  <c r="H291" i="42"/>
  <c r="E291" i="42"/>
  <c r="K291" i="42" s="1"/>
  <c r="H290" i="42"/>
  <c r="E290" i="42"/>
  <c r="K290" i="42" s="1"/>
  <c r="H289" i="42"/>
  <c r="E289" i="42"/>
  <c r="K289" i="42" s="1"/>
  <c r="H288" i="42"/>
  <c r="E288" i="42"/>
  <c r="K288" i="42" s="1"/>
  <c r="H287" i="42"/>
  <c r="E287" i="42"/>
  <c r="K287" i="42" s="1"/>
  <c r="H286" i="42"/>
  <c r="E286" i="42"/>
  <c r="K286" i="42" s="1"/>
  <c r="H285" i="42"/>
  <c r="E285" i="42"/>
  <c r="K285" i="42" s="1"/>
  <c r="H284" i="42"/>
  <c r="E284" i="42"/>
  <c r="K284" i="42" s="1"/>
  <c r="H283" i="42"/>
  <c r="E283" i="42"/>
  <c r="K283" i="42" s="1"/>
  <c r="H282" i="42"/>
  <c r="E282" i="42"/>
  <c r="K282" i="42" s="1"/>
  <c r="H281" i="42"/>
  <c r="E281" i="42"/>
  <c r="K281" i="42" s="1"/>
  <c r="H280" i="42"/>
  <c r="E280" i="42"/>
  <c r="K280" i="42" s="1"/>
  <c r="H279" i="42"/>
  <c r="E279" i="42"/>
  <c r="K279" i="42" s="1"/>
  <c r="H278" i="42"/>
  <c r="E278" i="42"/>
  <c r="K278" i="42" s="1"/>
  <c r="H277" i="42"/>
  <c r="E277" i="42"/>
  <c r="K277" i="42" s="1"/>
  <c r="H276" i="42"/>
  <c r="E276" i="42"/>
  <c r="K276" i="42" s="1"/>
  <c r="H275" i="42"/>
  <c r="E275" i="42"/>
  <c r="K275" i="42" s="1"/>
  <c r="H274" i="42"/>
  <c r="E274" i="42"/>
  <c r="K274" i="42" s="1"/>
  <c r="H273" i="42"/>
  <c r="E273" i="42"/>
  <c r="K273" i="42" s="1"/>
  <c r="H272" i="42"/>
  <c r="E272" i="42"/>
  <c r="K272" i="42" s="1"/>
  <c r="H271" i="42"/>
  <c r="E271" i="42"/>
  <c r="K271" i="42" s="1"/>
  <c r="H270" i="42"/>
  <c r="E270" i="42"/>
  <c r="K270" i="42" s="1"/>
  <c r="H269" i="42"/>
  <c r="E269" i="42"/>
  <c r="K269" i="42" s="1"/>
  <c r="H268" i="42"/>
  <c r="E268" i="42"/>
  <c r="K268" i="42" s="1"/>
  <c r="H267" i="42"/>
  <c r="E267" i="42"/>
  <c r="K267" i="42" s="1"/>
  <c r="H266" i="42"/>
  <c r="E266" i="42"/>
  <c r="K266" i="42" s="1"/>
  <c r="H265" i="42"/>
  <c r="E265" i="42"/>
  <c r="K265" i="42" s="1"/>
  <c r="H264" i="42"/>
  <c r="E264" i="42"/>
  <c r="K264" i="42" s="1"/>
  <c r="H263" i="42"/>
  <c r="E263" i="42"/>
  <c r="K263" i="42" s="1"/>
  <c r="H262" i="42"/>
  <c r="E262" i="42"/>
  <c r="K262" i="42" s="1"/>
  <c r="K261" i="42"/>
  <c r="H261" i="42"/>
  <c r="E261" i="42"/>
  <c r="H260" i="42"/>
  <c r="E260" i="42"/>
  <c r="K260" i="42" s="1"/>
  <c r="H259" i="42"/>
  <c r="E259" i="42"/>
  <c r="K259" i="42" s="1"/>
  <c r="H258" i="42"/>
  <c r="E258" i="42"/>
  <c r="K258" i="42" s="1"/>
  <c r="H257" i="42"/>
  <c r="E257" i="42"/>
  <c r="K257" i="42" s="1"/>
  <c r="H256" i="42"/>
  <c r="E256" i="42"/>
  <c r="K256" i="42" s="1"/>
  <c r="H255" i="42"/>
  <c r="E255" i="42"/>
  <c r="K255" i="42" s="1"/>
  <c r="H254" i="42"/>
  <c r="E254" i="42"/>
  <c r="K254" i="42" s="1"/>
  <c r="H253" i="42"/>
  <c r="E253" i="42"/>
  <c r="K253" i="42" s="1"/>
  <c r="H252" i="42"/>
  <c r="E252" i="42"/>
  <c r="K252" i="42" s="1"/>
  <c r="H251" i="42"/>
  <c r="E251" i="42"/>
  <c r="K251" i="42" s="1"/>
  <c r="H250" i="42"/>
  <c r="E250" i="42"/>
  <c r="K250" i="42" s="1"/>
  <c r="H249" i="42"/>
  <c r="E249" i="42"/>
  <c r="K249" i="42" s="1"/>
  <c r="H248" i="42"/>
  <c r="E248" i="42"/>
  <c r="K248" i="42" s="1"/>
  <c r="H39" i="42"/>
  <c r="E39" i="42"/>
  <c r="K39" i="42" s="1"/>
  <c r="H38" i="42"/>
  <c r="E38" i="42"/>
  <c r="K38" i="42" s="1"/>
  <c r="H37" i="42"/>
  <c r="E37" i="42"/>
  <c r="K37" i="42" s="1"/>
  <c r="H36" i="42"/>
  <c r="E36" i="42"/>
  <c r="K36" i="42" s="1"/>
  <c r="H35" i="42"/>
  <c r="E35" i="42"/>
  <c r="K35" i="42" s="1"/>
  <c r="H34" i="42"/>
  <c r="E34" i="42"/>
  <c r="K34" i="42" s="1"/>
  <c r="H33" i="42"/>
  <c r="E33" i="42"/>
  <c r="K33" i="42" s="1"/>
  <c r="H32" i="42"/>
  <c r="E32" i="42"/>
  <c r="K32" i="42" s="1"/>
  <c r="H31" i="42"/>
  <c r="E31" i="42"/>
  <c r="K31" i="42" s="1"/>
  <c r="H30" i="42"/>
  <c r="E30" i="42"/>
  <c r="K30" i="42" s="1"/>
  <c r="H29" i="42"/>
  <c r="E29" i="42"/>
  <c r="K29" i="42" s="1"/>
  <c r="H28" i="42"/>
  <c r="E28" i="42"/>
  <c r="K28" i="42" s="1"/>
  <c r="H27" i="42"/>
  <c r="E27" i="42"/>
  <c r="K27" i="42" s="1"/>
  <c r="H26" i="42"/>
  <c r="E26" i="42"/>
  <c r="K26" i="42" s="1"/>
  <c r="H25" i="42"/>
  <c r="E25" i="42"/>
  <c r="K25" i="42" s="1"/>
  <c r="H24" i="42"/>
  <c r="E24" i="42"/>
  <c r="K24" i="42" s="1"/>
  <c r="H23" i="42"/>
  <c r="E23" i="42"/>
  <c r="K23" i="42" s="1"/>
  <c r="H22" i="42"/>
  <c r="E22" i="42"/>
  <c r="K22" i="42" s="1"/>
  <c r="H21" i="42"/>
  <c r="E21" i="42"/>
  <c r="K21" i="42" s="1"/>
  <c r="H20" i="42"/>
  <c r="E20" i="42"/>
  <c r="K20" i="42" s="1"/>
  <c r="H19" i="42"/>
  <c r="E19" i="42"/>
  <c r="K19" i="42" s="1"/>
  <c r="H18" i="42"/>
  <c r="E18" i="42"/>
  <c r="K18" i="42" s="1"/>
  <c r="H17" i="42"/>
  <c r="E17" i="42"/>
  <c r="K17" i="42" s="1"/>
  <c r="H16" i="42"/>
  <c r="E16" i="42"/>
  <c r="K16" i="42" s="1"/>
  <c r="H15" i="42"/>
  <c r="E15" i="42"/>
  <c r="K15" i="42" s="1"/>
  <c r="H14" i="42"/>
  <c r="E14" i="42"/>
  <c r="K14" i="42" s="1"/>
  <c r="H13" i="42"/>
  <c r="E13" i="42"/>
  <c r="K13" i="42" s="1"/>
  <c r="H12" i="42"/>
  <c r="E12" i="42"/>
  <c r="K12" i="42" s="1"/>
  <c r="H11" i="42"/>
  <c r="E11" i="42"/>
  <c r="K11" i="42" s="1"/>
  <c r="H10" i="42"/>
  <c r="E10" i="42"/>
  <c r="K10" i="42" s="1"/>
  <c r="H9" i="42"/>
  <c r="E9" i="42"/>
  <c r="K9" i="42" s="1"/>
  <c r="D317" i="42"/>
  <c r="F317" i="42"/>
  <c r="G317" i="42"/>
  <c r="H317" i="42"/>
  <c r="C317" i="42"/>
  <c r="D246" i="42"/>
  <c r="F246" i="42"/>
  <c r="G246" i="42"/>
  <c r="I246" i="42"/>
  <c r="J246" i="42"/>
  <c r="H244" i="42"/>
  <c r="H245" i="42"/>
  <c r="E245" i="42"/>
  <c r="K245" i="42" s="1"/>
  <c r="E244" i="42"/>
  <c r="K244" i="42" s="1"/>
  <c r="E243" i="42"/>
  <c r="K243" i="42" s="1"/>
  <c r="E242" i="42"/>
  <c r="K242" i="42" s="1"/>
  <c r="E241" i="42"/>
  <c r="K241" i="42" s="1"/>
  <c r="E240" i="42"/>
  <c r="K240" i="42" s="1"/>
  <c r="E239" i="42"/>
  <c r="K239" i="42" s="1"/>
  <c r="E238" i="42"/>
  <c r="K238" i="42" s="1"/>
  <c r="E237" i="42"/>
  <c r="K237" i="42" s="1"/>
  <c r="E236" i="42"/>
  <c r="K236" i="42" s="1"/>
  <c r="E235" i="42"/>
  <c r="K235" i="42" s="1"/>
  <c r="E234" i="42"/>
  <c r="K234" i="42" s="1"/>
  <c r="E233" i="42"/>
  <c r="K233" i="42" s="1"/>
  <c r="E232" i="42"/>
  <c r="K232" i="42" s="1"/>
  <c r="E231" i="42"/>
  <c r="K231" i="42" s="1"/>
  <c r="E230" i="42"/>
  <c r="K230" i="42" s="1"/>
  <c r="E229" i="42"/>
  <c r="K229" i="42" s="1"/>
  <c r="E228" i="42"/>
  <c r="K228" i="42" s="1"/>
  <c r="E227" i="42"/>
  <c r="K227" i="42" s="1"/>
  <c r="E226" i="42"/>
  <c r="K226" i="42" s="1"/>
  <c r="E225" i="42"/>
  <c r="K225" i="42" s="1"/>
  <c r="E224" i="42"/>
  <c r="K224" i="42" s="1"/>
  <c r="E223" i="42"/>
  <c r="K223" i="42" s="1"/>
  <c r="E222" i="42"/>
  <c r="K222" i="42" s="1"/>
  <c r="E221" i="42"/>
  <c r="K221" i="42" s="1"/>
  <c r="E220" i="42"/>
  <c r="K220" i="42" s="1"/>
  <c r="E219" i="42"/>
  <c r="K219" i="42" s="1"/>
  <c r="E218" i="42"/>
  <c r="K218" i="42" s="1"/>
  <c r="E217" i="42"/>
  <c r="K217" i="42" s="1"/>
  <c r="E216" i="42"/>
  <c r="K216" i="42" s="1"/>
  <c r="E215" i="42"/>
  <c r="K215" i="42" s="1"/>
  <c r="E214" i="42"/>
  <c r="K214" i="42" s="1"/>
  <c r="E213" i="42"/>
  <c r="K213" i="42" s="1"/>
  <c r="E212" i="42"/>
  <c r="K212" i="42" s="1"/>
  <c r="E211" i="42"/>
  <c r="K211" i="42" s="1"/>
  <c r="E210" i="42"/>
  <c r="K210" i="42" s="1"/>
  <c r="E209" i="42"/>
  <c r="K209" i="42" s="1"/>
  <c r="E208" i="42"/>
  <c r="K208" i="42" s="1"/>
  <c r="E207" i="42"/>
  <c r="K207" i="42" s="1"/>
  <c r="E206" i="42"/>
  <c r="K206" i="42" s="1"/>
  <c r="E205" i="42"/>
  <c r="K205" i="42" s="1"/>
  <c r="E204" i="42"/>
  <c r="K204" i="42" s="1"/>
  <c r="E203" i="42"/>
  <c r="K203" i="42" s="1"/>
  <c r="E202" i="42"/>
  <c r="K202" i="42" s="1"/>
  <c r="E201" i="42"/>
  <c r="K201" i="42" s="1"/>
  <c r="E200" i="42"/>
  <c r="K200" i="42" s="1"/>
  <c r="E199" i="42"/>
  <c r="K199" i="42" s="1"/>
  <c r="E198" i="42"/>
  <c r="K198" i="42" s="1"/>
  <c r="E197" i="42"/>
  <c r="K197" i="42" s="1"/>
  <c r="E196" i="42"/>
  <c r="K196" i="42" s="1"/>
  <c r="E195" i="42"/>
  <c r="K195" i="42" s="1"/>
  <c r="E194" i="42"/>
  <c r="K194" i="42" s="1"/>
  <c r="E193" i="42"/>
  <c r="K193" i="42" s="1"/>
  <c r="E192" i="42"/>
  <c r="K192" i="42" s="1"/>
  <c r="E191" i="42"/>
  <c r="K191" i="42" s="1"/>
  <c r="E190" i="42"/>
  <c r="K190" i="42" s="1"/>
  <c r="E189" i="42"/>
  <c r="K189" i="42" s="1"/>
  <c r="E188" i="42"/>
  <c r="K188" i="42" s="1"/>
  <c r="E187" i="42"/>
  <c r="K187" i="42" s="1"/>
  <c r="E186" i="42"/>
  <c r="K186" i="42" s="1"/>
  <c r="E185" i="42"/>
  <c r="K185" i="42" s="1"/>
  <c r="E184" i="42"/>
  <c r="K184" i="42" s="1"/>
  <c r="E183" i="42"/>
  <c r="K183" i="42" s="1"/>
  <c r="E182" i="42"/>
  <c r="K182" i="42" s="1"/>
  <c r="E181" i="42"/>
  <c r="K181" i="42" s="1"/>
  <c r="E180" i="42"/>
  <c r="K180" i="42" s="1"/>
  <c r="E179" i="42"/>
  <c r="K179" i="42" s="1"/>
  <c r="E178" i="42"/>
  <c r="K178" i="42" s="1"/>
  <c r="E177" i="42"/>
  <c r="K177" i="42" s="1"/>
  <c r="E176" i="42"/>
  <c r="K176" i="42" s="1"/>
  <c r="E175" i="42"/>
  <c r="K175" i="42" s="1"/>
  <c r="E174" i="42"/>
  <c r="K174" i="42" s="1"/>
  <c r="E173" i="42"/>
  <c r="K173" i="42" s="1"/>
  <c r="E172" i="42"/>
  <c r="K172" i="42" s="1"/>
  <c r="E171" i="42"/>
  <c r="K171" i="42" s="1"/>
  <c r="E170" i="42"/>
  <c r="K170" i="42" s="1"/>
  <c r="E169" i="42"/>
  <c r="K169" i="42" s="1"/>
  <c r="E168" i="42"/>
  <c r="K168" i="42" s="1"/>
  <c r="E167" i="42"/>
  <c r="K167" i="42" s="1"/>
  <c r="E166" i="42"/>
  <c r="K166" i="42" s="1"/>
  <c r="E165" i="42"/>
  <c r="K165" i="42" s="1"/>
  <c r="E164" i="42"/>
  <c r="K164" i="42" s="1"/>
  <c r="E163" i="42"/>
  <c r="K163" i="42" s="1"/>
  <c r="E162" i="42"/>
  <c r="K162" i="42" s="1"/>
  <c r="E161" i="42"/>
  <c r="K161" i="42" s="1"/>
  <c r="E160" i="42"/>
  <c r="K160" i="42" s="1"/>
  <c r="E159" i="42"/>
  <c r="K159" i="42" s="1"/>
  <c r="E158" i="42"/>
  <c r="K158" i="42" s="1"/>
  <c r="E157" i="42"/>
  <c r="K157" i="42" s="1"/>
  <c r="E156" i="42"/>
  <c r="K156" i="42" s="1"/>
  <c r="E155" i="42"/>
  <c r="K155" i="42" s="1"/>
  <c r="E154" i="42"/>
  <c r="K154" i="42" s="1"/>
  <c r="E153" i="42"/>
  <c r="K153" i="42" s="1"/>
  <c r="E152" i="42"/>
  <c r="K152" i="42" s="1"/>
  <c r="E151" i="42"/>
  <c r="K151" i="42" s="1"/>
  <c r="E150" i="42"/>
  <c r="K150" i="42" s="1"/>
  <c r="E149" i="42"/>
  <c r="K149" i="42" s="1"/>
  <c r="E148" i="42"/>
  <c r="K148" i="42" s="1"/>
  <c r="E147" i="42"/>
  <c r="K147" i="42" s="1"/>
  <c r="E146" i="42"/>
  <c r="K146" i="42" s="1"/>
  <c r="E145" i="42"/>
  <c r="K145" i="42" s="1"/>
  <c r="E144" i="42"/>
  <c r="K144" i="42" s="1"/>
  <c r="E143" i="42"/>
  <c r="K143" i="42" s="1"/>
  <c r="E142" i="42"/>
  <c r="K142" i="42" s="1"/>
  <c r="E141" i="42"/>
  <c r="K141" i="42" s="1"/>
  <c r="E140" i="42"/>
  <c r="K140" i="42" s="1"/>
  <c r="E139" i="42"/>
  <c r="K139" i="42" s="1"/>
  <c r="E138" i="42"/>
  <c r="K138" i="42" s="1"/>
  <c r="E137" i="42"/>
  <c r="K137" i="42" s="1"/>
  <c r="E136" i="42"/>
  <c r="K136" i="42" s="1"/>
  <c r="E135" i="42"/>
  <c r="K135" i="42" s="1"/>
  <c r="E134" i="42"/>
  <c r="K134" i="42" s="1"/>
  <c r="E133" i="42"/>
  <c r="K133" i="42" s="1"/>
  <c r="E132" i="42"/>
  <c r="K132" i="42" s="1"/>
  <c r="E131" i="42"/>
  <c r="K131" i="42" s="1"/>
  <c r="E130" i="42"/>
  <c r="K130" i="42" s="1"/>
  <c r="E129" i="42"/>
  <c r="K129" i="42" s="1"/>
  <c r="E128" i="42"/>
  <c r="K128" i="42" s="1"/>
  <c r="E127" i="42"/>
  <c r="K127" i="42" s="1"/>
  <c r="E126" i="42"/>
  <c r="K126" i="42" s="1"/>
  <c r="E125" i="42"/>
  <c r="K125" i="42" s="1"/>
  <c r="E124" i="42"/>
  <c r="K124" i="42" s="1"/>
  <c r="E123" i="42"/>
  <c r="K123" i="42" s="1"/>
  <c r="E122" i="42"/>
  <c r="K122" i="42" s="1"/>
  <c r="E121" i="42"/>
  <c r="K121" i="42" s="1"/>
  <c r="E120" i="42"/>
  <c r="K120" i="42" s="1"/>
  <c r="E119" i="42"/>
  <c r="K119" i="42" s="1"/>
  <c r="E118" i="42"/>
  <c r="K118" i="42" s="1"/>
  <c r="E117" i="42"/>
  <c r="K117" i="42" s="1"/>
  <c r="E116" i="42"/>
  <c r="K116" i="42" s="1"/>
  <c r="E115" i="42"/>
  <c r="K115" i="42" s="1"/>
  <c r="E114" i="42"/>
  <c r="K114" i="42" s="1"/>
  <c r="E113" i="42"/>
  <c r="K113" i="42" s="1"/>
  <c r="E112" i="42"/>
  <c r="K112" i="42" s="1"/>
  <c r="E111" i="42"/>
  <c r="K111" i="42" s="1"/>
  <c r="E110" i="42"/>
  <c r="K110" i="42" s="1"/>
  <c r="E109" i="42"/>
  <c r="K109" i="42" s="1"/>
  <c r="E108" i="42"/>
  <c r="K108" i="42" s="1"/>
  <c r="E107" i="42"/>
  <c r="K107" i="42" s="1"/>
  <c r="E106" i="42"/>
  <c r="K106" i="42" s="1"/>
  <c r="E105" i="42"/>
  <c r="K105" i="42" s="1"/>
  <c r="E104" i="42"/>
  <c r="K104" i="42" s="1"/>
  <c r="E103" i="42"/>
  <c r="K103" i="42" s="1"/>
  <c r="E102" i="42"/>
  <c r="K102" i="42" s="1"/>
  <c r="E101" i="42"/>
  <c r="K101" i="42" s="1"/>
  <c r="E100" i="42"/>
  <c r="K100" i="42" s="1"/>
  <c r="E99" i="42"/>
  <c r="K99" i="42" s="1"/>
  <c r="E98" i="42"/>
  <c r="K98" i="42" s="1"/>
  <c r="E97" i="42"/>
  <c r="K97" i="42" s="1"/>
  <c r="E96" i="42"/>
  <c r="K96" i="42" s="1"/>
  <c r="E95" i="42"/>
  <c r="K95" i="42" s="1"/>
  <c r="E94" i="42"/>
  <c r="K94" i="42" s="1"/>
  <c r="E93" i="42"/>
  <c r="K93" i="42" s="1"/>
  <c r="E92" i="42"/>
  <c r="K92" i="42" s="1"/>
  <c r="E91" i="42"/>
  <c r="K91" i="42" s="1"/>
  <c r="E90" i="42"/>
  <c r="K90" i="42" s="1"/>
  <c r="E89" i="42"/>
  <c r="K89" i="42" s="1"/>
  <c r="E88" i="42"/>
  <c r="K88" i="42" s="1"/>
  <c r="E87" i="42"/>
  <c r="K87" i="42" s="1"/>
  <c r="E86" i="42"/>
  <c r="K86" i="42" s="1"/>
  <c r="E85" i="42"/>
  <c r="K85" i="42" s="1"/>
  <c r="E84" i="42"/>
  <c r="K84" i="42" s="1"/>
  <c r="E83" i="42"/>
  <c r="K83" i="42" s="1"/>
  <c r="E82" i="42"/>
  <c r="K82" i="42" s="1"/>
  <c r="E81" i="42"/>
  <c r="K81" i="42" s="1"/>
  <c r="E80" i="42"/>
  <c r="K80" i="42" s="1"/>
  <c r="E79" i="42"/>
  <c r="K79" i="42" s="1"/>
  <c r="E78" i="42"/>
  <c r="K78" i="42" s="1"/>
  <c r="E77" i="42"/>
  <c r="K77" i="42" s="1"/>
  <c r="E76" i="42"/>
  <c r="K76" i="42" s="1"/>
  <c r="E75" i="42"/>
  <c r="K75" i="42" s="1"/>
  <c r="E74" i="42"/>
  <c r="K74" i="42" s="1"/>
  <c r="E73" i="42"/>
  <c r="K73" i="42" s="1"/>
  <c r="E72" i="42"/>
  <c r="K72" i="42" s="1"/>
  <c r="E71" i="42"/>
  <c r="K71" i="42" s="1"/>
  <c r="E70" i="42"/>
  <c r="K70" i="42" s="1"/>
  <c r="E69" i="42"/>
  <c r="K69" i="42" s="1"/>
  <c r="E68" i="42"/>
  <c r="K68" i="42" s="1"/>
  <c r="E67" i="42"/>
  <c r="K67" i="42" s="1"/>
  <c r="E66" i="42"/>
  <c r="K66" i="42" s="1"/>
  <c r="E65" i="42"/>
  <c r="K65" i="42" s="1"/>
  <c r="E64" i="42"/>
  <c r="K64" i="42" s="1"/>
  <c r="E63" i="42"/>
  <c r="K63" i="42" s="1"/>
  <c r="E62" i="42"/>
  <c r="K62" i="42" s="1"/>
  <c r="E61" i="42"/>
  <c r="K61" i="42" s="1"/>
  <c r="E60" i="42"/>
  <c r="K60" i="42" s="1"/>
  <c r="E59" i="42"/>
  <c r="K59" i="42" s="1"/>
  <c r="E58" i="42"/>
  <c r="K58" i="42" s="1"/>
  <c r="E57" i="42"/>
  <c r="K57" i="42" s="1"/>
  <c r="E56" i="42"/>
  <c r="K56" i="42" s="1"/>
  <c r="E55" i="42"/>
  <c r="K55" i="42" s="1"/>
  <c r="E54" i="42"/>
  <c r="K54" i="42" s="1"/>
  <c r="E53" i="42"/>
  <c r="K53" i="42" s="1"/>
  <c r="E52" i="42"/>
  <c r="K52" i="42" s="1"/>
  <c r="E51" i="42"/>
  <c r="K51" i="42" s="1"/>
  <c r="E50" i="42"/>
  <c r="K50" i="42" s="1"/>
  <c r="E49" i="42"/>
  <c r="K49" i="42" s="1"/>
  <c r="E48" i="42"/>
  <c r="K48" i="42" s="1"/>
  <c r="E47" i="42"/>
  <c r="K47" i="42" s="1"/>
  <c r="E46" i="42"/>
  <c r="K46" i="42" s="1"/>
  <c r="E45" i="42"/>
  <c r="K45" i="42" s="1"/>
  <c r="E44" i="42"/>
  <c r="K44" i="42" s="1"/>
  <c r="E43" i="42"/>
  <c r="K43" i="42" s="1"/>
  <c r="E42" i="42"/>
  <c r="K42" i="42" s="1"/>
  <c r="H241" i="42"/>
  <c r="H240" i="42"/>
  <c r="H239" i="42"/>
  <c r="H238" i="42"/>
  <c r="H237" i="42"/>
  <c r="H236" i="42"/>
  <c r="H235" i="42"/>
  <c r="H234" i="42"/>
  <c r="H233" i="42"/>
  <c r="H232" i="42"/>
  <c r="H216" i="42"/>
  <c r="H215" i="42"/>
  <c r="H214" i="42"/>
  <c r="H213" i="42"/>
  <c r="H212" i="42"/>
  <c r="H211" i="42"/>
  <c r="H210" i="42"/>
  <c r="H209" i="42"/>
  <c r="H208" i="42"/>
  <c r="H207" i="42"/>
  <c r="H206" i="42"/>
  <c r="H205" i="42"/>
  <c r="H204" i="42"/>
  <c r="H203" i="42"/>
  <c r="H42" i="42"/>
  <c r="H43" i="42"/>
  <c r="H44" i="42"/>
  <c r="H45" i="42"/>
  <c r="H46" i="42"/>
  <c r="H47" i="42"/>
  <c r="H48" i="42"/>
  <c r="H49" i="42"/>
  <c r="H50" i="42"/>
  <c r="H51" i="42"/>
  <c r="H52" i="42"/>
  <c r="H53" i="42"/>
  <c r="H54" i="42"/>
  <c r="H55" i="42"/>
  <c r="H56" i="42"/>
  <c r="H57" i="42"/>
  <c r="H58" i="42"/>
  <c r="H59" i="42"/>
  <c r="H60" i="42"/>
  <c r="H61" i="42"/>
  <c r="H62" i="42"/>
  <c r="H63" i="42"/>
  <c r="H64" i="42"/>
  <c r="H65" i="42"/>
  <c r="H66" i="42"/>
  <c r="H67" i="42"/>
  <c r="H68" i="42"/>
  <c r="H69" i="42"/>
  <c r="H70" i="42"/>
  <c r="H71" i="42"/>
  <c r="H72" i="42"/>
  <c r="H73" i="42"/>
  <c r="H74" i="42"/>
  <c r="H75" i="42"/>
  <c r="H76" i="42"/>
  <c r="H77" i="42"/>
  <c r="H78" i="42"/>
  <c r="H79" i="42"/>
  <c r="H80" i="42"/>
  <c r="H81" i="42"/>
  <c r="H82" i="42"/>
  <c r="H83" i="42"/>
  <c r="H84" i="42"/>
  <c r="H85" i="42"/>
  <c r="H86" i="42"/>
  <c r="H87" i="42"/>
  <c r="H88" i="42"/>
  <c r="H89" i="42"/>
  <c r="H90" i="42"/>
  <c r="H91" i="42"/>
  <c r="H92" i="42"/>
  <c r="H93" i="42"/>
  <c r="H94" i="42"/>
  <c r="H95" i="42"/>
  <c r="H96" i="42"/>
  <c r="H97" i="42"/>
  <c r="H98" i="42"/>
  <c r="H99" i="42"/>
  <c r="H100" i="42"/>
  <c r="H101" i="42"/>
  <c r="H102" i="42"/>
  <c r="H103" i="42"/>
  <c r="H104" i="42"/>
  <c r="H105" i="42"/>
  <c r="H106" i="42"/>
  <c r="H107" i="42"/>
  <c r="H108" i="42"/>
  <c r="H109" i="42"/>
  <c r="H110" i="42"/>
  <c r="H111" i="42"/>
  <c r="H112" i="42"/>
  <c r="H113" i="42"/>
  <c r="H114" i="42"/>
  <c r="H115" i="42"/>
  <c r="H116" i="42"/>
  <c r="H117" i="42"/>
  <c r="H118" i="42"/>
  <c r="H119" i="42"/>
  <c r="H120" i="42"/>
  <c r="H121" i="42"/>
  <c r="H122" i="42"/>
  <c r="H123" i="42"/>
  <c r="H124" i="42"/>
  <c r="H125" i="42"/>
  <c r="H126" i="42"/>
  <c r="H127" i="42"/>
  <c r="H128" i="42"/>
  <c r="H129" i="42"/>
  <c r="H130" i="42"/>
  <c r="H131" i="42"/>
  <c r="H132" i="42"/>
  <c r="H133" i="42"/>
  <c r="H134" i="42"/>
  <c r="H135" i="42"/>
  <c r="H136" i="42"/>
  <c r="H137" i="42"/>
  <c r="H138" i="42"/>
  <c r="H139" i="42"/>
  <c r="H140" i="42"/>
  <c r="H141" i="42"/>
  <c r="H142" i="42"/>
  <c r="H143" i="42"/>
  <c r="H144" i="42"/>
  <c r="H145" i="42"/>
  <c r="H146" i="42"/>
  <c r="H147" i="42"/>
  <c r="H148" i="42"/>
  <c r="H149" i="42"/>
  <c r="H150" i="42"/>
  <c r="H151" i="42"/>
  <c r="H152" i="42"/>
  <c r="H153" i="42"/>
  <c r="H154" i="42"/>
  <c r="H155" i="42"/>
  <c r="H156" i="42"/>
  <c r="H157" i="42"/>
  <c r="H158" i="42"/>
  <c r="H159" i="42"/>
  <c r="H160" i="42"/>
  <c r="H161" i="42"/>
  <c r="H162" i="42"/>
  <c r="H163" i="42"/>
  <c r="H164" i="42"/>
  <c r="H165" i="42"/>
  <c r="H166" i="42"/>
  <c r="H167" i="42"/>
  <c r="H168" i="42"/>
  <c r="H169" i="42"/>
  <c r="H170" i="42"/>
  <c r="H171" i="42"/>
  <c r="H172" i="42"/>
  <c r="H173" i="42"/>
  <c r="H174" i="42"/>
  <c r="H175" i="42"/>
  <c r="H176" i="42"/>
  <c r="H177" i="42"/>
  <c r="H178" i="42"/>
  <c r="H179" i="42"/>
  <c r="H180" i="42"/>
  <c r="H181" i="42"/>
  <c r="H182" i="42"/>
  <c r="H183" i="42"/>
  <c r="H184" i="42"/>
  <c r="H185" i="42"/>
  <c r="H186" i="42"/>
  <c r="H187" i="42"/>
  <c r="H188" i="42"/>
  <c r="H189" i="42"/>
  <c r="H190" i="42"/>
  <c r="H191" i="42"/>
  <c r="H192" i="42"/>
  <c r="H193" i="42"/>
  <c r="H194" i="42"/>
  <c r="H195" i="42"/>
  <c r="H196" i="42"/>
  <c r="H197" i="42"/>
  <c r="H198" i="42"/>
  <c r="H199" i="42"/>
  <c r="H200" i="42"/>
  <c r="H201" i="42"/>
  <c r="H202" i="42"/>
  <c r="H217" i="42"/>
  <c r="H218" i="42"/>
  <c r="H219" i="42"/>
  <c r="H220" i="42"/>
  <c r="H221" i="42"/>
  <c r="H222" i="42"/>
  <c r="H223" i="42"/>
  <c r="H224" i="42"/>
  <c r="H225" i="42"/>
  <c r="H226" i="42"/>
  <c r="H227" i="42"/>
  <c r="H228" i="42"/>
  <c r="H229" i="42"/>
  <c r="H230" i="42"/>
  <c r="H231" i="42"/>
  <c r="H242" i="42"/>
  <c r="H243" i="42"/>
  <c r="G35" i="61"/>
  <c r="H297" i="42" l="1"/>
  <c r="K40" i="42"/>
  <c r="K297" i="42"/>
  <c r="E297" i="42"/>
  <c r="K246" i="42"/>
  <c r="H246" i="42"/>
  <c r="E246" i="42"/>
  <c r="D19" i="54" l="1"/>
  <c r="A25" i="18" l="1"/>
  <c r="E35" i="62" l="1"/>
  <c r="D24" i="54"/>
  <c r="D40" i="54"/>
  <c r="C19" i="22"/>
  <c r="K27" i="32"/>
  <c r="E88" i="60"/>
  <c r="P35" i="44" l="1"/>
  <c r="O34" i="44"/>
  <c r="O35" i="44"/>
  <c r="Q35" i="44" s="1"/>
  <c r="H36" i="44"/>
  <c r="I36" i="44"/>
  <c r="J36" i="44"/>
  <c r="K36" i="44"/>
  <c r="L36" i="44"/>
  <c r="M36" i="44"/>
  <c r="N36" i="44"/>
  <c r="G36" i="44"/>
  <c r="D36" i="61" l="1"/>
  <c r="C11" i="63"/>
  <c r="J47" i="8" l="1"/>
  <c r="H43" i="8"/>
  <c r="C30" i="67" l="1"/>
  <c r="D107" i="65" l="1"/>
  <c r="E36" i="3"/>
  <c r="D75" i="65"/>
  <c r="C35" i="56" l="1"/>
  <c r="C55" i="66"/>
  <c r="B23" i="30"/>
  <c r="D21" i="61"/>
  <c r="B73" i="54"/>
  <c r="K43" i="61" l="1"/>
  <c r="M18" i="43" l="1"/>
  <c r="M19" i="43"/>
  <c r="M17" i="43"/>
  <c r="M12" i="43"/>
  <c r="M13" i="43"/>
  <c r="M14" i="43"/>
  <c r="K15" i="43"/>
  <c r="M15" i="43" s="1"/>
  <c r="M11" i="43"/>
  <c r="K20" i="43"/>
  <c r="M20" i="43" s="1"/>
  <c r="E19" i="43"/>
  <c r="G19" i="43" s="1"/>
  <c r="E18" i="43"/>
  <c r="H18" i="43" s="1"/>
  <c r="J18" i="43" s="1"/>
  <c r="E13" i="43"/>
  <c r="G13" i="43" s="1"/>
  <c r="E12" i="43"/>
  <c r="G12" i="43" s="1"/>
  <c r="E11" i="43"/>
  <c r="G11" i="43" s="1"/>
  <c r="E14" i="43"/>
  <c r="E15" i="43" s="1"/>
  <c r="H15" i="43" s="1"/>
  <c r="E17" i="43"/>
  <c r="G17" i="43" s="1"/>
  <c r="F15" i="43"/>
  <c r="H11" i="43" l="1"/>
  <c r="J11" i="43" s="1"/>
  <c r="E20" i="43"/>
  <c r="G20" i="43" s="1"/>
  <c r="H13" i="43"/>
  <c r="J13" i="43" s="1"/>
  <c r="H12" i="43"/>
  <c r="J12" i="43" s="1"/>
  <c r="H20" i="43"/>
  <c r="J20" i="43" s="1"/>
  <c r="H19" i="43"/>
  <c r="J19" i="43" s="1"/>
  <c r="H14" i="43"/>
  <c r="J14" i="43" s="1"/>
  <c r="H17" i="43"/>
  <c r="J17" i="43" s="1"/>
  <c r="J15" i="43"/>
  <c r="G18" i="43"/>
  <c r="G14" i="43"/>
  <c r="G15" i="43" s="1"/>
  <c r="C13" i="69" l="1"/>
  <c r="C16" i="69" s="1"/>
  <c r="C18" i="75"/>
  <c r="C11" i="75"/>
  <c r="C26" i="52"/>
  <c r="C15" i="68" l="1"/>
  <c r="C12" i="66" l="1"/>
  <c r="C57" i="66" s="1"/>
  <c r="D66" i="65"/>
  <c r="E41" i="33" l="1"/>
  <c r="C23" i="22"/>
  <c r="B9" i="21"/>
  <c r="G26" i="52"/>
  <c r="E306" i="42"/>
  <c r="E307" i="42"/>
  <c r="I307" i="42" s="1"/>
  <c r="E308" i="42"/>
  <c r="I308" i="42" s="1"/>
  <c r="E309" i="42"/>
  <c r="I309" i="42" s="1"/>
  <c r="E310" i="42"/>
  <c r="I310" i="42" s="1"/>
  <c r="E311" i="42"/>
  <c r="I311" i="42" s="1"/>
  <c r="E312" i="42"/>
  <c r="I312" i="42" s="1"/>
  <c r="E313" i="42"/>
  <c r="I313" i="42" s="1"/>
  <c r="E314" i="42"/>
  <c r="I314" i="42" s="1"/>
  <c r="E315" i="42"/>
  <c r="I315" i="42" s="1"/>
  <c r="E316" i="42"/>
  <c r="I316" i="42" s="1"/>
  <c r="I306" i="42" l="1"/>
  <c r="I317" i="42" s="1"/>
  <c r="E317" i="42"/>
  <c r="D50" i="65"/>
  <c r="D41" i="65"/>
  <c r="D34" i="65"/>
  <c r="D17" i="65" l="1"/>
  <c r="C14" i="64" l="1"/>
  <c r="C21" i="64" s="1"/>
  <c r="D29" i="79"/>
  <c r="E60" i="76"/>
  <c r="D15" i="77" l="1"/>
  <c r="D17" i="78"/>
  <c r="C15" i="71"/>
  <c r="C17" i="71" s="1"/>
  <c r="F10" i="63" l="1"/>
  <c r="C31" i="22"/>
  <c r="C33" i="22" s="1"/>
  <c r="E27" i="3"/>
  <c r="F27" i="3" s="1"/>
  <c r="D17" i="69"/>
  <c r="D17" i="68"/>
  <c r="D32" i="67"/>
  <c r="D49" i="66"/>
  <c r="F27" i="63"/>
  <c r="E26" i="63"/>
  <c r="D26" i="63"/>
  <c r="C25" i="63"/>
  <c r="F24" i="63"/>
  <c r="F23" i="63"/>
  <c r="C22" i="63"/>
  <c r="F22" i="63" s="1"/>
  <c r="E19" i="63"/>
  <c r="C19" i="63"/>
  <c r="F18" i="63"/>
  <c r="F17" i="63"/>
  <c r="E15" i="63"/>
  <c r="D15" i="63"/>
  <c r="C15" i="63"/>
  <c r="F14" i="63"/>
  <c r="F15" i="63" s="1"/>
  <c r="E12" i="63"/>
  <c r="D12" i="63"/>
  <c r="F11" i="63"/>
  <c r="F9" i="63"/>
  <c r="F8" i="63"/>
  <c r="F66" i="62"/>
  <c r="F63" i="62"/>
  <c r="E61" i="62"/>
  <c r="D61" i="62"/>
  <c r="F60" i="62"/>
  <c r="E53" i="62"/>
  <c r="C53" i="62"/>
  <c r="F52" i="62"/>
  <c r="F51" i="62"/>
  <c r="F50" i="62"/>
  <c r="F49" i="62"/>
  <c r="F48" i="62"/>
  <c r="C47" i="62"/>
  <c r="C54" i="62" s="1"/>
  <c r="F46" i="62"/>
  <c r="F45" i="62"/>
  <c r="F44" i="62"/>
  <c r="F43" i="62"/>
  <c r="F42" i="62"/>
  <c r="F41" i="62"/>
  <c r="F40" i="62"/>
  <c r="E39" i="62"/>
  <c r="D39" i="62"/>
  <c r="E38" i="62"/>
  <c r="F38" i="62" s="1"/>
  <c r="E37" i="62"/>
  <c r="D37" i="62"/>
  <c r="F36" i="62"/>
  <c r="F35" i="62"/>
  <c r="F34" i="62"/>
  <c r="F33" i="62"/>
  <c r="F32" i="62"/>
  <c r="D31" i="62"/>
  <c r="A31" i="62"/>
  <c r="A32" i="62" s="1"/>
  <c r="A33" i="62" s="1"/>
  <c r="A34" i="62" s="1"/>
  <c r="A35" i="62" s="1"/>
  <c r="A36" i="62" s="1"/>
  <c r="A37" i="62" s="1"/>
  <c r="A38" i="62" s="1"/>
  <c r="A39" i="62" s="1"/>
  <c r="A40" i="62" s="1"/>
  <c r="A41" i="62" s="1"/>
  <c r="A42" i="62" s="1"/>
  <c r="A43" i="62" s="1"/>
  <c r="A44" i="62" s="1"/>
  <c r="A45" i="62" s="1"/>
  <c r="A46" i="62" s="1"/>
  <c r="A47" i="62" s="1"/>
  <c r="A48" i="62" s="1"/>
  <c r="A49" i="62" s="1"/>
  <c r="A50" i="62" s="1"/>
  <c r="A51" i="62" s="1"/>
  <c r="A52" i="62" s="1"/>
  <c r="F30" i="62"/>
  <c r="D26" i="62"/>
  <c r="D27" i="62" s="1"/>
  <c r="F25" i="62"/>
  <c r="F24" i="62"/>
  <c r="F23" i="62"/>
  <c r="F22" i="62"/>
  <c r="F21" i="62"/>
  <c r="F20" i="62"/>
  <c r="C19" i="62"/>
  <c r="F19" i="62" s="1"/>
  <c r="A19" i="62"/>
  <c r="A20" i="62" s="1"/>
  <c r="A21" i="62" s="1"/>
  <c r="A22" i="62" s="1"/>
  <c r="A23" i="62" s="1"/>
  <c r="A24" i="62" s="1"/>
  <c r="E18" i="62"/>
  <c r="E27" i="62" s="1"/>
  <c r="C18" i="62"/>
  <c r="F18" i="62" s="1"/>
  <c r="C15" i="62"/>
  <c r="F14" i="62"/>
  <c r="E13" i="62"/>
  <c r="E15" i="62" s="1"/>
  <c r="F12" i="62"/>
  <c r="F11" i="62"/>
  <c r="D10" i="62"/>
  <c r="D15" i="62" s="1"/>
  <c r="D61" i="76"/>
  <c r="D17" i="71"/>
  <c r="E20" i="74"/>
  <c r="D17" i="74"/>
  <c r="D17" i="72"/>
  <c r="D20" i="72" s="1"/>
  <c r="E44" i="61"/>
  <c r="I44" i="61" s="1"/>
  <c r="F47" i="55" s="1"/>
  <c r="E42" i="61"/>
  <c r="I42" i="61" s="1"/>
  <c r="F40" i="61"/>
  <c r="E40" i="61"/>
  <c r="E38" i="61"/>
  <c r="I38" i="61" s="1"/>
  <c r="E37" i="61"/>
  <c r="I37" i="61" s="1"/>
  <c r="F36" i="61"/>
  <c r="F35" i="61"/>
  <c r="D35" i="61"/>
  <c r="E35" i="61" s="1"/>
  <c r="F32" i="61"/>
  <c r="F23" i="55" s="1"/>
  <c r="D32" i="61"/>
  <c r="E32" i="61" s="1"/>
  <c r="E30" i="61"/>
  <c r="I30" i="61" s="1"/>
  <c r="E28" i="61"/>
  <c r="I28" i="61" s="1"/>
  <c r="E26" i="61"/>
  <c r="I26" i="61" s="1"/>
  <c r="H24" i="61"/>
  <c r="G24" i="61"/>
  <c r="C22" i="24" s="1"/>
  <c r="F24" i="61"/>
  <c r="C24" i="61"/>
  <c r="C9" i="24" s="1"/>
  <c r="E9" i="24" s="1"/>
  <c r="E23" i="61"/>
  <c r="I23" i="61" s="1"/>
  <c r="E22" i="61"/>
  <c r="I22" i="61" s="1"/>
  <c r="E21" i="61"/>
  <c r="I20" i="61"/>
  <c r="E20" i="61"/>
  <c r="G16" i="61"/>
  <c r="F16" i="61"/>
  <c r="D16" i="61"/>
  <c r="C16" i="55" s="1"/>
  <c r="C16" i="61"/>
  <c r="I14" i="61"/>
  <c r="E14" i="61"/>
  <c r="E12" i="61"/>
  <c r="I12" i="61" s="1"/>
  <c r="E11" i="61"/>
  <c r="I11" i="61" s="1"/>
  <c r="E10" i="61"/>
  <c r="E63" i="60"/>
  <c r="E89" i="60" s="1"/>
  <c r="N16" i="80"/>
  <c r="M16" i="80"/>
  <c r="L16" i="80"/>
  <c r="K16" i="80"/>
  <c r="I16" i="80"/>
  <c r="H16" i="80"/>
  <c r="F18" i="55" s="1"/>
  <c r="F16" i="80"/>
  <c r="E16" i="80"/>
  <c r="D16" i="80"/>
  <c r="C16" i="80"/>
  <c r="P15" i="80"/>
  <c r="O15" i="80"/>
  <c r="J15" i="80"/>
  <c r="G15" i="80"/>
  <c r="P14" i="80"/>
  <c r="O14" i="80"/>
  <c r="J14" i="80"/>
  <c r="G14" i="80"/>
  <c r="P13" i="80"/>
  <c r="O13" i="80"/>
  <c r="J13" i="80"/>
  <c r="G13" i="80"/>
  <c r="P12" i="80"/>
  <c r="O12" i="80"/>
  <c r="J12" i="80"/>
  <c r="G12" i="80"/>
  <c r="P11" i="80"/>
  <c r="O11" i="80"/>
  <c r="J11" i="80"/>
  <c r="G11" i="80"/>
  <c r="P10" i="80"/>
  <c r="O10" i="80"/>
  <c r="J10" i="80"/>
  <c r="G10" i="80"/>
  <c r="M24" i="58"/>
  <c r="L24" i="58"/>
  <c r="I24" i="58"/>
  <c r="H24" i="58"/>
  <c r="G24" i="58"/>
  <c r="F24" i="58"/>
  <c r="E24" i="58"/>
  <c r="D24" i="58"/>
  <c r="J23" i="58"/>
  <c r="N23" i="58" s="1"/>
  <c r="J22" i="58"/>
  <c r="N22" i="58" s="1"/>
  <c r="J21" i="58"/>
  <c r="N21" i="58" s="1"/>
  <c r="J20" i="58"/>
  <c r="N20" i="58" s="1"/>
  <c r="J19" i="58"/>
  <c r="N19" i="58" s="1"/>
  <c r="J18" i="58"/>
  <c r="N18" i="58" s="1"/>
  <c r="J17" i="58"/>
  <c r="N17" i="58" s="1"/>
  <c r="J16" i="58"/>
  <c r="N16" i="58" s="1"/>
  <c r="J15" i="58"/>
  <c r="N15" i="58" s="1"/>
  <c r="J14" i="58"/>
  <c r="N14" i="58" s="1"/>
  <c r="J13" i="58"/>
  <c r="N13" i="58" s="1"/>
  <c r="J12" i="58"/>
  <c r="N12" i="58" s="1"/>
  <c r="J11" i="58"/>
  <c r="N11" i="58" s="1"/>
  <c r="J10" i="58"/>
  <c r="N10" i="58" s="1"/>
  <c r="K57" i="57"/>
  <c r="E57" i="57"/>
  <c r="I54" i="57"/>
  <c r="G54" i="57"/>
  <c r="F54" i="57"/>
  <c r="C54" i="57"/>
  <c r="K53" i="57"/>
  <c r="E53" i="57"/>
  <c r="K52" i="57"/>
  <c r="E52" i="57"/>
  <c r="K51" i="57"/>
  <c r="E51" i="57"/>
  <c r="K50" i="57"/>
  <c r="E50" i="57"/>
  <c r="K49" i="57"/>
  <c r="E49" i="57"/>
  <c r="K48" i="57"/>
  <c r="J47" i="57"/>
  <c r="I47" i="57"/>
  <c r="G47" i="57"/>
  <c r="F47" i="57"/>
  <c r="D47" i="57"/>
  <c r="C47" i="57"/>
  <c r="K46" i="57"/>
  <c r="E46" i="57"/>
  <c r="K45" i="57"/>
  <c r="E45" i="57"/>
  <c r="K44" i="57"/>
  <c r="E44" i="57"/>
  <c r="K43" i="57"/>
  <c r="E43" i="57"/>
  <c r="K42" i="57"/>
  <c r="E42" i="57"/>
  <c r="K41" i="57"/>
  <c r="E41" i="57"/>
  <c r="K40" i="57"/>
  <c r="E40" i="57"/>
  <c r="K39" i="57"/>
  <c r="E39" i="57"/>
  <c r="K38" i="57"/>
  <c r="J37" i="57"/>
  <c r="H37" i="57"/>
  <c r="H55" i="57" s="1"/>
  <c r="G37" i="57"/>
  <c r="F37" i="57"/>
  <c r="D37" i="57"/>
  <c r="K36" i="57"/>
  <c r="E36" i="57"/>
  <c r="I35" i="57"/>
  <c r="I37" i="57" s="1"/>
  <c r="C35" i="57"/>
  <c r="C37" i="57" s="1"/>
  <c r="K34" i="57"/>
  <c r="J33" i="57"/>
  <c r="J55" i="57" s="1"/>
  <c r="I33" i="57"/>
  <c r="G33" i="57"/>
  <c r="F33" i="57"/>
  <c r="D33" i="57"/>
  <c r="C33" i="57"/>
  <c r="K32" i="57"/>
  <c r="E32" i="57"/>
  <c r="K31" i="57"/>
  <c r="E31" i="57"/>
  <c r="E33" i="57" s="1"/>
  <c r="K30" i="57"/>
  <c r="K29" i="57"/>
  <c r="E29" i="57"/>
  <c r="J28" i="57"/>
  <c r="I28" i="57"/>
  <c r="G28" i="57"/>
  <c r="F28" i="57"/>
  <c r="D28" i="57"/>
  <c r="C28" i="57"/>
  <c r="K27" i="57"/>
  <c r="E27" i="57"/>
  <c r="K26" i="57"/>
  <c r="E26" i="57"/>
  <c r="K25" i="57"/>
  <c r="E25" i="57"/>
  <c r="E28" i="57" s="1"/>
  <c r="J22" i="57"/>
  <c r="I22" i="57"/>
  <c r="H22" i="57"/>
  <c r="G22" i="57"/>
  <c r="F22" i="57"/>
  <c r="K21" i="57"/>
  <c r="E21" i="57"/>
  <c r="K20" i="57"/>
  <c r="E20" i="57"/>
  <c r="K19" i="57"/>
  <c r="E19" i="57"/>
  <c r="K18" i="57"/>
  <c r="E18" i="57"/>
  <c r="K17" i="57"/>
  <c r="D17" i="57"/>
  <c r="D22" i="57" s="1"/>
  <c r="K16" i="57"/>
  <c r="E16" i="57"/>
  <c r="K15" i="57"/>
  <c r="C15" i="57"/>
  <c r="E15" i="57" s="1"/>
  <c r="K14" i="57"/>
  <c r="E14" i="57"/>
  <c r="K13" i="57"/>
  <c r="E13" i="57"/>
  <c r="K12" i="57"/>
  <c r="E12" i="57"/>
  <c r="K10" i="57"/>
  <c r="E10" i="57"/>
  <c r="D17" i="56"/>
  <c r="C14" i="56"/>
  <c r="C36" i="56" s="1"/>
  <c r="C39" i="55"/>
  <c r="C34" i="55"/>
  <c r="F32" i="55"/>
  <c r="C32" i="55"/>
  <c r="C30" i="55"/>
  <c r="F28" i="55"/>
  <c r="C28" i="55"/>
  <c r="C26" i="55"/>
  <c r="B94" i="54"/>
  <c r="E24" i="53"/>
  <c r="B29" i="53"/>
  <c r="E28" i="53"/>
  <c r="B28" i="53"/>
  <c r="B17" i="53"/>
  <c r="D17" i="38"/>
  <c r="C13" i="38"/>
  <c r="D26" i="1" s="1"/>
  <c r="B13" i="38"/>
  <c r="C29" i="37"/>
  <c r="B20" i="37" s="1"/>
  <c r="G20" i="37" s="1"/>
  <c r="B29" i="37"/>
  <c r="D28" i="37"/>
  <c r="D27" i="37"/>
  <c r="D26" i="37"/>
  <c r="D29" i="37" s="1"/>
  <c r="K22" i="37"/>
  <c r="J22" i="37"/>
  <c r="I22" i="37"/>
  <c r="H22" i="37"/>
  <c r="F22" i="37"/>
  <c r="D22" i="37"/>
  <c r="C22" i="37"/>
  <c r="E18" i="37"/>
  <c r="E22" i="37" s="1"/>
  <c r="G17" i="37"/>
  <c r="B14" i="37"/>
  <c r="G12" i="37"/>
  <c r="C58" i="62" s="1"/>
  <c r="F58" i="62" s="1"/>
  <c r="G10" i="37"/>
  <c r="C57" i="62" s="1"/>
  <c r="D17" i="45"/>
  <c r="D17" i="35"/>
  <c r="H23" i="82"/>
  <c r="B12" i="34" s="1"/>
  <c r="F12" i="34" s="1"/>
  <c r="G23" i="82"/>
  <c r="E23" i="82"/>
  <c r="D23" i="82"/>
  <c r="B16" i="34" s="1"/>
  <c r="F16" i="34" s="1"/>
  <c r="C23" i="82"/>
  <c r="B10" i="34" s="1"/>
  <c r="F10" i="34" s="1"/>
  <c r="B23" i="82"/>
  <c r="I22" i="82"/>
  <c r="I21" i="82"/>
  <c r="F20" i="82"/>
  <c r="F23" i="82" s="1"/>
  <c r="B26" i="34" s="1"/>
  <c r="F26" i="34" s="1"/>
  <c r="I19" i="82"/>
  <c r="I18" i="82"/>
  <c r="I17" i="82"/>
  <c r="I16" i="82"/>
  <c r="I15" i="82"/>
  <c r="I14" i="82"/>
  <c r="H12" i="82"/>
  <c r="G12" i="82"/>
  <c r="F12" i="82"/>
  <c r="B29" i="34" s="1"/>
  <c r="F29" i="34" s="1"/>
  <c r="E12" i="82"/>
  <c r="D12" i="82"/>
  <c r="C12" i="82"/>
  <c r="B11" i="34" s="1"/>
  <c r="F11" i="34" s="1"/>
  <c r="B12" i="82"/>
  <c r="I11" i="82"/>
  <c r="I10" i="82"/>
  <c r="I9" i="82"/>
  <c r="K10" i="82" s="1"/>
  <c r="I8" i="82"/>
  <c r="K29" i="82" s="1"/>
  <c r="I7" i="82"/>
  <c r="I6" i="82"/>
  <c r="I5" i="82"/>
  <c r="J5" i="82" s="1"/>
  <c r="J8" i="82" s="1"/>
  <c r="I4" i="82"/>
  <c r="I3" i="82"/>
  <c r="I46" i="34"/>
  <c r="H46" i="34"/>
  <c r="G46" i="34"/>
  <c r="E46" i="34"/>
  <c r="D46" i="34"/>
  <c r="J45" i="34"/>
  <c r="C45" i="34"/>
  <c r="C46" i="34" s="1"/>
  <c r="B45" i="34"/>
  <c r="J44" i="34"/>
  <c r="J43" i="34"/>
  <c r="F43" i="34"/>
  <c r="J42" i="34"/>
  <c r="J41" i="34"/>
  <c r="F41" i="34"/>
  <c r="J40" i="34"/>
  <c r="F40" i="34"/>
  <c r="J39" i="34"/>
  <c r="J38" i="34"/>
  <c r="F38" i="34"/>
  <c r="J37" i="34"/>
  <c r="B37" i="34"/>
  <c r="F37" i="34" s="1"/>
  <c r="J36" i="34"/>
  <c r="F36" i="34"/>
  <c r="J35" i="34"/>
  <c r="F35" i="34"/>
  <c r="J34" i="34"/>
  <c r="F34" i="34"/>
  <c r="J33" i="34"/>
  <c r="F33" i="34"/>
  <c r="J32" i="34"/>
  <c r="F32" i="34"/>
  <c r="J31" i="34"/>
  <c r="F31" i="34"/>
  <c r="J30" i="34"/>
  <c r="J29" i="34"/>
  <c r="J28" i="34"/>
  <c r="F28" i="34"/>
  <c r="J27" i="34"/>
  <c r="J26" i="34"/>
  <c r="J25" i="34"/>
  <c r="J24" i="34"/>
  <c r="F24" i="34"/>
  <c r="J23" i="34"/>
  <c r="F23" i="34"/>
  <c r="J22" i="34"/>
  <c r="B22" i="34"/>
  <c r="F22" i="34" s="1"/>
  <c r="J21" i="34"/>
  <c r="F21" i="34"/>
  <c r="J20" i="34"/>
  <c r="F20" i="34"/>
  <c r="J19" i="34"/>
  <c r="B19" i="34"/>
  <c r="F19" i="34" s="1"/>
  <c r="J18" i="34"/>
  <c r="B18" i="34"/>
  <c r="F18" i="34" s="1"/>
  <c r="J17" i="34"/>
  <c r="J16" i="34"/>
  <c r="J15" i="34"/>
  <c r="F15" i="34"/>
  <c r="J14" i="34"/>
  <c r="J13" i="34"/>
  <c r="B13" i="34"/>
  <c r="F13" i="34" s="1"/>
  <c r="J12" i="34"/>
  <c r="J11" i="34"/>
  <c r="J10" i="34"/>
  <c r="J9" i="34"/>
  <c r="J8" i="34"/>
  <c r="B8" i="34"/>
  <c r="F8" i="34" s="1"/>
  <c r="D50" i="33"/>
  <c r="C50" i="33"/>
  <c r="G49" i="33"/>
  <c r="G48" i="33"/>
  <c r="G47" i="33"/>
  <c r="G46" i="33"/>
  <c r="F45" i="33"/>
  <c r="G45" i="33" s="1"/>
  <c r="B25" i="18" s="1"/>
  <c r="B44" i="33"/>
  <c r="B50" i="33" s="1"/>
  <c r="B8" i="33" s="1"/>
  <c r="G43" i="33"/>
  <c r="G42" i="33"/>
  <c r="F41" i="33"/>
  <c r="E50" i="33"/>
  <c r="B19" i="33" s="1"/>
  <c r="F19" i="33" s="1"/>
  <c r="I34" i="33"/>
  <c r="H34" i="33"/>
  <c r="G34" i="33"/>
  <c r="E34" i="33"/>
  <c r="D34" i="33"/>
  <c r="C34" i="33"/>
  <c r="J33" i="33"/>
  <c r="J32" i="33"/>
  <c r="F32" i="33"/>
  <c r="J31" i="33"/>
  <c r="F31" i="33"/>
  <c r="J30" i="33"/>
  <c r="F30" i="33"/>
  <c r="J29" i="33"/>
  <c r="F29" i="33"/>
  <c r="J28" i="33"/>
  <c r="F28" i="33"/>
  <c r="J27" i="33"/>
  <c r="F27" i="33"/>
  <c r="J26" i="33"/>
  <c r="F26" i="33"/>
  <c r="J25" i="33"/>
  <c r="F25" i="33"/>
  <c r="J24" i="33"/>
  <c r="F24" i="33"/>
  <c r="J23" i="33"/>
  <c r="F23" i="33"/>
  <c r="J22" i="33"/>
  <c r="F22" i="33"/>
  <c r="I20" i="33"/>
  <c r="H20" i="33"/>
  <c r="G20" i="33"/>
  <c r="D20" i="33"/>
  <c r="D35" i="33" s="1"/>
  <c r="C20" i="33"/>
  <c r="J19" i="33"/>
  <c r="J18" i="33"/>
  <c r="E18" i="33"/>
  <c r="F18" i="33" s="1"/>
  <c r="J17" i="33"/>
  <c r="F17" i="33"/>
  <c r="J16" i="33"/>
  <c r="F16" i="33"/>
  <c r="J15" i="33"/>
  <c r="F15" i="33"/>
  <c r="J14" i="33"/>
  <c r="B14" i="33"/>
  <c r="F14" i="33" s="1"/>
  <c r="J13" i="33"/>
  <c r="F13" i="33"/>
  <c r="J12" i="33"/>
  <c r="F12" i="33"/>
  <c r="J11" i="33"/>
  <c r="F11" i="33"/>
  <c r="J10" i="33"/>
  <c r="F10" i="33"/>
  <c r="J9" i="33"/>
  <c r="B9" i="33"/>
  <c r="F9" i="33" s="1"/>
  <c r="J8" i="33"/>
  <c r="D28" i="32"/>
  <c r="B26" i="32"/>
  <c r="B30" i="32" s="1"/>
  <c r="B7" i="32" s="1"/>
  <c r="I17" i="32"/>
  <c r="H15" i="32"/>
  <c r="H18" i="32" s="1"/>
  <c r="G15" i="32"/>
  <c r="G18" i="32" s="1"/>
  <c r="F15" i="32"/>
  <c r="F18" i="32" s="1"/>
  <c r="D20" i="1" s="1"/>
  <c r="D15" i="32"/>
  <c r="D17" i="32" s="1"/>
  <c r="C15" i="32"/>
  <c r="C18" i="32" s="1"/>
  <c r="I14" i="32"/>
  <c r="E14" i="32"/>
  <c r="I13" i="32"/>
  <c r="E13" i="32"/>
  <c r="I12" i="32"/>
  <c r="E12" i="32"/>
  <c r="I11" i="32"/>
  <c r="E11" i="32"/>
  <c r="I10" i="32"/>
  <c r="E10" i="32"/>
  <c r="I9" i="32"/>
  <c r="E9" i="32"/>
  <c r="I8" i="32"/>
  <c r="B8" i="32"/>
  <c r="E8" i="32" s="1"/>
  <c r="I7" i="32"/>
  <c r="D17" i="31"/>
  <c r="C13" i="31"/>
  <c r="B13" i="31"/>
  <c r="C23" i="30"/>
  <c r="C25" i="30" s="1"/>
  <c r="B25" i="30"/>
  <c r="C14" i="1" s="1"/>
  <c r="D17" i="30"/>
  <c r="A38" i="29"/>
  <c r="C25" i="29"/>
  <c r="B25" i="29"/>
  <c r="B44" i="18" s="1"/>
  <c r="C18" i="29"/>
  <c r="D17" i="29"/>
  <c r="B13" i="29"/>
  <c r="B7" i="29"/>
  <c r="B18" i="29" s="1"/>
  <c r="C13" i="1" s="1"/>
  <c r="D12" i="28"/>
  <c r="D17" i="28" s="1"/>
  <c r="C12" i="28"/>
  <c r="B12" i="28"/>
  <c r="E14" i="27"/>
  <c r="D14" i="27"/>
  <c r="C14" i="27"/>
  <c r="B14" i="27"/>
  <c r="C20" i="26"/>
  <c r="B20" i="26"/>
  <c r="D17" i="26"/>
  <c r="D25" i="25"/>
  <c r="C25" i="25"/>
  <c r="F19" i="25"/>
  <c r="F20" i="25" s="1"/>
  <c r="F22" i="25" s="1"/>
  <c r="F25" i="25" s="1"/>
  <c r="F13" i="25"/>
  <c r="E19" i="24"/>
  <c r="C17" i="24"/>
  <c r="E16" i="24"/>
  <c r="F16" i="24" s="1"/>
  <c r="E15" i="24"/>
  <c r="F15" i="24" s="1"/>
  <c r="E14" i="24"/>
  <c r="F14" i="24" s="1"/>
  <c r="E12" i="24"/>
  <c r="F11" i="24"/>
  <c r="F13" i="24" s="1"/>
  <c r="D11" i="24"/>
  <c r="D13" i="24" s="1"/>
  <c r="P34" i="44"/>
  <c r="P33" i="44"/>
  <c r="O33" i="44"/>
  <c r="P32" i="44"/>
  <c r="O32" i="44"/>
  <c r="P31" i="44"/>
  <c r="O31" i="44"/>
  <c r="P30" i="44"/>
  <c r="O30" i="44"/>
  <c r="P29" i="44"/>
  <c r="O29" i="44"/>
  <c r="P28" i="44"/>
  <c r="O28" i="44"/>
  <c r="P27" i="44"/>
  <c r="O27" i="44"/>
  <c r="P26" i="44"/>
  <c r="O26" i="44"/>
  <c r="O36" i="44" s="1"/>
  <c r="J17" i="44"/>
  <c r="I17" i="44"/>
  <c r="H17" i="44"/>
  <c r="G17" i="44"/>
  <c r="F17" i="44"/>
  <c r="E17" i="44"/>
  <c r="D17" i="44"/>
  <c r="C17" i="44"/>
  <c r="K15" i="44"/>
  <c r="K14" i="44"/>
  <c r="K13" i="44"/>
  <c r="K12" i="44"/>
  <c r="K11" i="44"/>
  <c r="G27" i="22"/>
  <c r="F27" i="22"/>
  <c r="H25" i="22"/>
  <c r="H24" i="22"/>
  <c r="H23" i="22"/>
  <c r="D23" i="22"/>
  <c r="C24" i="22"/>
  <c r="E24" i="22" s="1"/>
  <c r="H22" i="22"/>
  <c r="E22" i="22"/>
  <c r="H21" i="22"/>
  <c r="E21" i="22"/>
  <c r="H20" i="22"/>
  <c r="H19" i="22"/>
  <c r="H18" i="22"/>
  <c r="D17" i="22"/>
  <c r="H16" i="22"/>
  <c r="E16" i="22"/>
  <c r="H15" i="22"/>
  <c r="E15" i="22"/>
  <c r="H11" i="22"/>
  <c r="E11" i="22"/>
  <c r="H10" i="22"/>
  <c r="E10" i="22"/>
  <c r="C30" i="21"/>
  <c r="B30" i="21"/>
  <c r="C21" i="21"/>
  <c r="B21" i="21"/>
  <c r="D14" i="21"/>
  <c r="C12" i="21"/>
  <c r="B12" i="21"/>
  <c r="B32" i="21" s="1"/>
  <c r="C9" i="1" s="1"/>
  <c r="C29" i="20"/>
  <c r="B29" i="20"/>
  <c r="C8" i="1" s="1"/>
  <c r="D17" i="20"/>
  <c r="C15" i="70"/>
  <c r="D38" i="52"/>
  <c r="D18" i="51"/>
  <c r="D17" i="43"/>
  <c r="C47" i="18"/>
  <c r="E45" i="18"/>
  <c r="B33" i="18"/>
  <c r="B31" i="18"/>
  <c r="B23" i="18"/>
  <c r="B21" i="18"/>
  <c r="B20" i="18"/>
  <c r="C26" i="17"/>
  <c r="B11" i="17"/>
  <c r="B26" i="17" s="1"/>
  <c r="C13" i="16"/>
  <c r="B13" i="16"/>
  <c r="C23" i="2" s="1"/>
  <c r="E47" i="15"/>
  <c r="J47" i="15" s="1"/>
  <c r="K47" i="15" s="1"/>
  <c r="K48" i="15" s="1"/>
  <c r="H46" i="15"/>
  <c r="H48" i="15" s="1"/>
  <c r="G46" i="15"/>
  <c r="G48" i="15" s="1"/>
  <c r="F46" i="15"/>
  <c r="F48" i="15" s="1"/>
  <c r="C46" i="15"/>
  <c r="C48" i="15" s="1"/>
  <c r="B46" i="15"/>
  <c r="B48" i="15" s="1"/>
  <c r="I43" i="15"/>
  <c r="E43" i="15"/>
  <c r="E41" i="15"/>
  <c r="J41" i="15" s="1"/>
  <c r="I39" i="15"/>
  <c r="E39" i="15"/>
  <c r="I37" i="15"/>
  <c r="E37" i="15"/>
  <c r="I35" i="15"/>
  <c r="E35" i="15"/>
  <c r="I33" i="15"/>
  <c r="E33" i="15"/>
  <c r="I31" i="15"/>
  <c r="E31" i="15"/>
  <c r="I29" i="15"/>
  <c r="E29" i="15"/>
  <c r="I27" i="15"/>
  <c r="E27" i="15"/>
  <c r="I25" i="15"/>
  <c r="E25" i="15"/>
  <c r="K24" i="15"/>
  <c r="I23" i="15"/>
  <c r="E23" i="15"/>
  <c r="K22" i="15"/>
  <c r="I21" i="15"/>
  <c r="E21" i="15"/>
  <c r="K20" i="15"/>
  <c r="I19" i="15"/>
  <c r="E19" i="15"/>
  <c r="K18" i="15"/>
  <c r="I17" i="15"/>
  <c r="D17" i="15"/>
  <c r="E17" i="15" s="1"/>
  <c r="K16" i="15"/>
  <c r="I15" i="15"/>
  <c r="E15" i="15"/>
  <c r="K14" i="15"/>
  <c r="I13" i="15"/>
  <c r="E13" i="15"/>
  <c r="K12" i="15"/>
  <c r="I11" i="15"/>
  <c r="E11" i="15"/>
  <c r="E10" i="15"/>
  <c r="E47" i="14"/>
  <c r="J47" i="14" s="1"/>
  <c r="K47" i="14" s="1"/>
  <c r="H46" i="14"/>
  <c r="H48" i="14" s="1"/>
  <c r="F46" i="14"/>
  <c r="C46" i="14"/>
  <c r="C48" i="14" s="1"/>
  <c r="C57" i="14" s="1"/>
  <c r="B46" i="14"/>
  <c r="B48" i="14" s="1"/>
  <c r="I43" i="14"/>
  <c r="E43" i="14"/>
  <c r="I42" i="14"/>
  <c r="I41" i="14"/>
  <c r="E41" i="14"/>
  <c r="I40" i="14"/>
  <c r="E39" i="14"/>
  <c r="G38" i="14"/>
  <c r="I38" i="14" s="1"/>
  <c r="E37" i="14"/>
  <c r="G36" i="14"/>
  <c r="I36" i="14" s="1"/>
  <c r="E35" i="14"/>
  <c r="G34" i="14"/>
  <c r="E33" i="14"/>
  <c r="G32" i="14"/>
  <c r="I32" i="14" s="1"/>
  <c r="E31" i="14"/>
  <c r="G30" i="14"/>
  <c r="E29" i="14"/>
  <c r="G28" i="14"/>
  <c r="I28" i="14" s="1"/>
  <c r="E27" i="14"/>
  <c r="G26" i="14"/>
  <c r="E25" i="14"/>
  <c r="K24" i="14"/>
  <c r="I24" i="14"/>
  <c r="E23" i="14"/>
  <c r="K22" i="14"/>
  <c r="I22" i="14"/>
  <c r="I21" i="14"/>
  <c r="E21" i="14"/>
  <c r="K20" i="14"/>
  <c r="I20" i="14"/>
  <c r="I19" i="14"/>
  <c r="E19" i="14"/>
  <c r="K18" i="14"/>
  <c r="I18" i="14"/>
  <c r="I17" i="14"/>
  <c r="D17" i="14"/>
  <c r="D46" i="14" s="1"/>
  <c r="D48" i="14" s="1"/>
  <c r="K16" i="14"/>
  <c r="I16" i="14"/>
  <c r="I15" i="14"/>
  <c r="E15" i="14"/>
  <c r="K14" i="14"/>
  <c r="I14" i="14"/>
  <c r="I13" i="14"/>
  <c r="E13" i="14"/>
  <c r="K12" i="14"/>
  <c r="I12" i="14"/>
  <c r="I11" i="14"/>
  <c r="E11" i="14"/>
  <c r="E10" i="14"/>
  <c r="E47" i="13"/>
  <c r="J47" i="13" s="1"/>
  <c r="K47" i="13" s="1"/>
  <c r="H46" i="13"/>
  <c r="H48" i="13" s="1"/>
  <c r="G46" i="13"/>
  <c r="G48" i="13" s="1"/>
  <c r="F46" i="13"/>
  <c r="C46" i="13"/>
  <c r="C48" i="13" s="1"/>
  <c r="B46" i="13"/>
  <c r="B48" i="13" s="1"/>
  <c r="I43" i="13"/>
  <c r="E43" i="13"/>
  <c r="E41" i="13"/>
  <c r="J41" i="13" s="1"/>
  <c r="K40" i="13"/>
  <c r="I39" i="13"/>
  <c r="E39" i="13"/>
  <c r="K38" i="13"/>
  <c r="I37" i="13"/>
  <c r="E37" i="13"/>
  <c r="K36" i="13"/>
  <c r="I35" i="13"/>
  <c r="E35" i="13"/>
  <c r="K34" i="13"/>
  <c r="I33" i="13"/>
  <c r="E33" i="13"/>
  <c r="K32" i="13"/>
  <c r="I31" i="13"/>
  <c r="E31" i="13"/>
  <c r="K30" i="13"/>
  <c r="I29" i="13"/>
  <c r="E29" i="13"/>
  <c r="K28" i="13"/>
  <c r="I27" i="13"/>
  <c r="E27" i="13"/>
  <c r="K26" i="13"/>
  <c r="I25" i="13"/>
  <c r="E25" i="13"/>
  <c r="J25" i="13" s="1"/>
  <c r="K24" i="13"/>
  <c r="I23" i="13"/>
  <c r="E23" i="13"/>
  <c r="K22" i="13"/>
  <c r="I21" i="13"/>
  <c r="E21" i="13"/>
  <c r="K20" i="13"/>
  <c r="I19" i="13"/>
  <c r="E19" i="13"/>
  <c r="K18" i="13"/>
  <c r="I17" i="13"/>
  <c r="D17" i="13"/>
  <c r="K16" i="13"/>
  <c r="I15" i="13"/>
  <c r="E15" i="13"/>
  <c r="K14" i="13"/>
  <c r="I13" i="13"/>
  <c r="E13" i="13"/>
  <c r="K12" i="13"/>
  <c r="I11" i="13"/>
  <c r="E11" i="13"/>
  <c r="I10" i="13"/>
  <c r="E10" i="13"/>
  <c r="E47" i="12"/>
  <c r="J47" i="12" s="1"/>
  <c r="K47" i="12" s="1"/>
  <c r="H46" i="12"/>
  <c r="H48" i="12" s="1"/>
  <c r="F46" i="12"/>
  <c r="F48" i="12" s="1"/>
  <c r="D46" i="12"/>
  <c r="D48" i="12" s="1"/>
  <c r="C46" i="12"/>
  <c r="C48" i="12" s="1"/>
  <c r="B46" i="12"/>
  <c r="B48" i="12" s="1"/>
  <c r="I43" i="12"/>
  <c r="E43" i="12"/>
  <c r="E41" i="12"/>
  <c r="J41" i="12" s="1"/>
  <c r="K41" i="12" s="1"/>
  <c r="I39" i="12"/>
  <c r="E39" i="12"/>
  <c r="I37" i="12"/>
  <c r="E37" i="12"/>
  <c r="I35" i="12"/>
  <c r="E35" i="12"/>
  <c r="I33" i="12"/>
  <c r="E33" i="12"/>
  <c r="J33" i="12" s="1"/>
  <c r="K33" i="12" s="1"/>
  <c r="I31" i="12"/>
  <c r="E31" i="12"/>
  <c r="I29" i="12"/>
  <c r="E29" i="12"/>
  <c r="J29" i="12" s="1"/>
  <c r="K29" i="12" s="1"/>
  <c r="I27" i="12"/>
  <c r="E27" i="12"/>
  <c r="E25" i="12"/>
  <c r="G25" i="12" s="1"/>
  <c r="I23" i="12"/>
  <c r="E23" i="12"/>
  <c r="I21" i="12"/>
  <c r="E21" i="12"/>
  <c r="I19" i="12"/>
  <c r="E19" i="12"/>
  <c r="I17" i="12"/>
  <c r="E17" i="12"/>
  <c r="I15" i="12"/>
  <c r="E15" i="12"/>
  <c r="I13" i="12"/>
  <c r="E13" i="12"/>
  <c r="I11" i="12"/>
  <c r="E11" i="12"/>
  <c r="E10" i="12"/>
  <c r="G10" i="12" s="1"/>
  <c r="G10" i="8" s="1"/>
  <c r="E47" i="11"/>
  <c r="J47" i="11" s="1"/>
  <c r="K47" i="11" s="1"/>
  <c r="H46" i="11"/>
  <c r="H48" i="11" s="1"/>
  <c r="G46" i="11"/>
  <c r="G48" i="11" s="1"/>
  <c r="F46" i="11"/>
  <c r="C46" i="11"/>
  <c r="C48" i="11" s="1"/>
  <c r="B46" i="11"/>
  <c r="I43" i="11"/>
  <c r="E43" i="11"/>
  <c r="E41" i="11"/>
  <c r="J41" i="11" s="1"/>
  <c r="K41" i="11" s="1"/>
  <c r="I39" i="11"/>
  <c r="E39" i="11"/>
  <c r="I37" i="11"/>
  <c r="E37" i="11"/>
  <c r="I35" i="11"/>
  <c r="E35" i="11"/>
  <c r="I33" i="11"/>
  <c r="E33" i="11"/>
  <c r="I31" i="11"/>
  <c r="E31" i="11"/>
  <c r="I29" i="11"/>
  <c r="E29" i="11"/>
  <c r="I27" i="11"/>
  <c r="E27" i="11"/>
  <c r="I25" i="11"/>
  <c r="E25" i="11"/>
  <c r="I23" i="11"/>
  <c r="E23" i="11"/>
  <c r="I21" i="11"/>
  <c r="E21" i="11"/>
  <c r="I19" i="11"/>
  <c r="E19" i="11"/>
  <c r="I17" i="11"/>
  <c r="D17" i="11"/>
  <c r="D46" i="11" s="1"/>
  <c r="D48" i="11" s="1"/>
  <c r="I15" i="11"/>
  <c r="E15" i="11"/>
  <c r="I13" i="11"/>
  <c r="E13" i="11"/>
  <c r="I11" i="11"/>
  <c r="E11" i="11"/>
  <c r="E10" i="11"/>
  <c r="J10" i="11" s="1"/>
  <c r="K10" i="11" s="1"/>
  <c r="F58" i="9"/>
  <c r="C58" i="9"/>
  <c r="E57" i="9"/>
  <c r="E58" i="9" s="1"/>
  <c r="D56" i="9"/>
  <c r="D58" i="9" s="1"/>
  <c r="B56" i="9"/>
  <c r="B58" i="9" s="1"/>
  <c r="G55" i="9"/>
  <c r="I47" i="9"/>
  <c r="J47" i="9" s="1"/>
  <c r="K47" i="9" s="1"/>
  <c r="K46" i="9"/>
  <c r="H46" i="9"/>
  <c r="H48" i="9" s="1"/>
  <c r="F46" i="9"/>
  <c r="F48" i="9" s="1"/>
  <c r="C46" i="9"/>
  <c r="C48" i="9" s="1"/>
  <c r="B46" i="9"/>
  <c r="B48" i="9" s="1"/>
  <c r="I45" i="9"/>
  <c r="I44" i="9"/>
  <c r="E43" i="9"/>
  <c r="I43" i="9" s="1"/>
  <c r="E42" i="9"/>
  <c r="G42" i="9" s="1"/>
  <c r="G42" i="8" s="1"/>
  <c r="E41" i="9"/>
  <c r="E40" i="9"/>
  <c r="G40" i="9" s="1"/>
  <c r="E39" i="9"/>
  <c r="E38" i="9"/>
  <c r="G38" i="9" s="1"/>
  <c r="G38" i="8" s="1"/>
  <c r="E37" i="9"/>
  <c r="E36" i="9"/>
  <c r="G36" i="9" s="1"/>
  <c r="I35" i="9"/>
  <c r="E35" i="9"/>
  <c r="I34" i="9"/>
  <c r="E34" i="9"/>
  <c r="I33" i="9"/>
  <c r="E33" i="9"/>
  <c r="I32" i="9"/>
  <c r="E32" i="9"/>
  <c r="E31" i="9"/>
  <c r="I30" i="9"/>
  <c r="E30" i="9"/>
  <c r="E29" i="9"/>
  <c r="I28" i="9"/>
  <c r="E28" i="9"/>
  <c r="E27" i="9"/>
  <c r="I26" i="9"/>
  <c r="E26" i="9"/>
  <c r="E25" i="9"/>
  <c r="G25" i="9" s="1"/>
  <c r="I24" i="9"/>
  <c r="E24" i="9"/>
  <c r="E23" i="9"/>
  <c r="G23" i="9" s="1"/>
  <c r="I22" i="9"/>
  <c r="E22" i="9"/>
  <c r="I21" i="9"/>
  <c r="E21" i="9"/>
  <c r="I20" i="9"/>
  <c r="E20" i="9"/>
  <c r="I19" i="9"/>
  <c r="E19" i="9"/>
  <c r="I18" i="9"/>
  <c r="E18" i="9"/>
  <c r="I17" i="9"/>
  <c r="D17" i="9"/>
  <c r="D46" i="9" s="1"/>
  <c r="D48" i="9" s="1"/>
  <c r="I16" i="9"/>
  <c r="E16" i="9"/>
  <c r="I15" i="9"/>
  <c r="E15" i="9"/>
  <c r="I14" i="9"/>
  <c r="E14" i="9"/>
  <c r="E13" i="9"/>
  <c r="G13" i="9" s="1"/>
  <c r="I12" i="9"/>
  <c r="E12" i="9"/>
  <c r="I11" i="9"/>
  <c r="E11" i="9"/>
  <c r="I10" i="9"/>
  <c r="E10" i="9"/>
  <c r="B139" i="8"/>
  <c r="P53" i="8"/>
  <c r="P55" i="8" s="1"/>
  <c r="O53" i="8"/>
  <c r="O55" i="8" s="1"/>
  <c r="N53" i="8"/>
  <c r="N55" i="8" s="1"/>
  <c r="M53" i="8"/>
  <c r="M55" i="8" s="1"/>
  <c r="L53" i="8"/>
  <c r="L55" i="8" s="1"/>
  <c r="K47" i="8"/>
  <c r="K46" i="8"/>
  <c r="B46" i="8"/>
  <c r="B48" i="8" s="1"/>
  <c r="F43" i="8"/>
  <c r="D43" i="8"/>
  <c r="C43" i="8"/>
  <c r="H42" i="8"/>
  <c r="F42" i="8"/>
  <c r="D42" i="8"/>
  <c r="C42" i="8"/>
  <c r="H41" i="8"/>
  <c r="F41" i="8"/>
  <c r="D41" i="8"/>
  <c r="C41" i="8"/>
  <c r="H40" i="8"/>
  <c r="F40" i="8"/>
  <c r="D40" i="8"/>
  <c r="C40" i="8"/>
  <c r="H39" i="8"/>
  <c r="F39" i="8"/>
  <c r="D39" i="8"/>
  <c r="C39" i="8"/>
  <c r="H38" i="8"/>
  <c r="F38" i="8"/>
  <c r="D38" i="8"/>
  <c r="C38" i="8"/>
  <c r="H37" i="8"/>
  <c r="F37" i="8"/>
  <c r="D37" i="8"/>
  <c r="C37" i="8"/>
  <c r="H36" i="8"/>
  <c r="F36" i="8"/>
  <c r="D36" i="8"/>
  <c r="C36" i="8"/>
  <c r="H35" i="8"/>
  <c r="F35" i="8"/>
  <c r="D35" i="8"/>
  <c r="C35" i="8"/>
  <c r="H34" i="8"/>
  <c r="F34" i="8"/>
  <c r="D34" i="8"/>
  <c r="C34" i="8"/>
  <c r="H33" i="8"/>
  <c r="F33" i="8"/>
  <c r="D33" i="8"/>
  <c r="C33" i="8"/>
  <c r="H32" i="8"/>
  <c r="G32" i="8"/>
  <c r="F32" i="8"/>
  <c r="D32" i="8"/>
  <c r="C32" i="8"/>
  <c r="H31" i="8"/>
  <c r="F31" i="8"/>
  <c r="D31" i="8"/>
  <c r="C31" i="8"/>
  <c r="H30" i="8"/>
  <c r="F30" i="8"/>
  <c r="D30" i="8"/>
  <c r="C30" i="8"/>
  <c r="H29" i="8"/>
  <c r="F29" i="8"/>
  <c r="D29" i="8"/>
  <c r="C29" i="8"/>
  <c r="H28" i="8"/>
  <c r="G28" i="8"/>
  <c r="F28" i="8"/>
  <c r="D28" i="8"/>
  <c r="C28" i="8"/>
  <c r="H27" i="8"/>
  <c r="F27" i="8"/>
  <c r="D27" i="8"/>
  <c r="C27" i="8"/>
  <c r="H26" i="8"/>
  <c r="F26" i="8"/>
  <c r="D26" i="8"/>
  <c r="C26" i="8"/>
  <c r="H25" i="8"/>
  <c r="F25" i="8"/>
  <c r="D25" i="8"/>
  <c r="C25" i="8"/>
  <c r="H24" i="8"/>
  <c r="G24" i="8"/>
  <c r="F24" i="8"/>
  <c r="D24" i="8"/>
  <c r="C24" i="8"/>
  <c r="H23" i="8"/>
  <c r="F23" i="8"/>
  <c r="D23" i="8"/>
  <c r="C23" i="8"/>
  <c r="H22" i="8"/>
  <c r="G22" i="8"/>
  <c r="F22" i="8"/>
  <c r="D22" i="8"/>
  <c r="C22" i="8"/>
  <c r="H21" i="8"/>
  <c r="G21" i="8"/>
  <c r="F21" i="8"/>
  <c r="D21" i="8"/>
  <c r="C21" i="8"/>
  <c r="H20" i="8"/>
  <c r="G20" i="8"/>
  <c r="F20" i="8"/>
  <c r="D20" i="8"/>
  <c r="C20" i="8"/>
  <c r="H19" i="8"/>
  <c r="G19" i="8"/>
  <c r="F19" i="8"/>
  <c r="D19" i="8"/>
  <c r="C19" i="8"/>
  <c r="H18" i="8"/>
  <c r="G18" i="8"/>
  <c r="F18" i="8"/>
  <c r="D18" i="8"/>
  <c r="C18" i="8"/>
  <c r="H17" i="8"/>
  <c r="G17" i="8"/>
  <c r="F17" i="8"/>
  <c r="C17" i="8"/>
  <c r="H16" i="8"/>
  <c r="G16" i="8"/>
  <c r="F16" i="8"/>
  <c r="D16" i="8"/>
  <c r="C16" i="8"/>
  <c r="E16" i="8" s="1"/>
  <c r="H15" i="8"/>
  <c r="G15" i="8"/>
  <c r="F15" i="8"/>
  <c r="D15" i="8"/>
  <c r="C15" i="8"/>
  <c r="H14" i="8"/>
  <c r="G14" i="8"/>
  <c r="F14" i="8"/>
  <c r="D14" i="8"/>
  <c r="C14" i="8"/>
  <c r="E14" i="8" s="1"/>
  <c r="H13" i="8"/>
  <c r="F13" i="8"/>
  <c r="D13" i="8"/>
  <c r="C13" i="8"/>
  <c r="H12" i="8"/>
  <c r="G12" i="8"/>
  <c r="F12" i="8"/>
  <c r="D12" i="8"/>
  <c r="C12" i="8"/>
  <c r="H11" i="8"/>
  <c r="G11" i="8"/>
  <c r="F11" i="8"/>
  <c r="D11" i="8"/>
  <c r="C11" i="8"/>
  <c r="E11" i="8" s="1"/>
  <c r="F10" i="8"/>
  <c r="D10" i="8"/>
  <c r="C10" i="8"/>
  <c r="B35" i="6"/>
  <c r="C28" i="6"/>
  <c r="C36" i="6" s="1"/>
  <c r="D15" i="2" s="1"/>
  <c r="B22" i="6"/>
  <c r="D17" i="6"/>
  <c r="B17" i="6"/>
  <c r="K30" i="82" s="1"/>
  <c r="K31" i="82" s="1"/>
  <c r="B12" i="6"/>
  <c r="B18" i="6"/>
  <c r="I16" i="41"/>
  <c r="G16" i="41"/>
  <c r="F16" i="41"/>
  <c r="D16" i="41"/>
  <c r="C16" i="41"/>
  <c r="H14" i="41"/>
  <c r="H16" i="41" s="1"/>
  <c r="E14" i="41"/>
  <c r="E16" i="41" s="1"/>
  <c r="I11" i="41"/>
  <c r="G11" i="41"/>
  <c r="F11" i="41"/>
  <c r="D11" i="41"/>
  <c r="C11" i="41"/>
  <c r="H8" i="41"/>
  <c r="H11" i="41" s="1"/>
  <c r="E8" i="41"/>
  <c r="E22" i="4"/>
  <c r="C22" i="4"/>
  <c r="B22" i="4"/>
  <c r="D21" i="4"/>
  <c r="D20" i="4"/>
  <c r="D19" i="4"/>
  <c r="D18" i="4"/>
  <c r="D16" i="4"/>
  <c r="D15" i="4"/>
  <c r="E12" i="4"/>
  <c r="C12" i="4"/>
  <c r="B12" i="4"/>
  <c r="D11" i="4"/>
  <c r="D10" i="4"/>
  <c r="D8" i="4"/>
  <c r="C12" i="3"/>
  <c r="D9" i="2" s="1"/>
  <c r="C26" i="1"/>
  <c r="D23" i="1"/>
  <c r="C23" i="1"/>
  <c r="D22" i="1"/>
  <c r="D15" i="1"/>
  <c r="C15" i="1"/>
  <c r="D14" i="1"/>
  <c r="D13" i="1"/>
  <c r="D12" i="1"/>
  <c r="C12" i="1"/>
  <c r="D11" i="1"/>
  <c r="C11" i="1"/>
  <c r="D10" i="1"/>
  <c r="C10" i="1"/>
  <c r="D8" i="1"/>
  <c r="D23" i="2"/>
  <c r="D11" i="2"/>
  <c r="C11" i="2"/>
  <c r="J23" i="11" l="1"/>
  <c r="K23" i="11" s="1"/>
  <c r="J29" i="11"/>
  <c r="K29" i="11" s="1"/>
  <c r="G44" i="33"/>
  <c r="J16" i="80"/>
  <c r="J19" i="11"/>
  <c r="K19" i="11" s="1"/>
  <c r="J25" i="11"/>
  <c r="K25" i="11" s="1"/>
  <c r="J31" i="11"/>
  <c r="K31" i="11" s="1"/>
  <c r="J37" i="11"/>
  <c r="K37" i="11" s="1"/>
  <c r="O16" i="80"/>
  <c r="C35" i="33"/>
  <c r="B46" i="53"/>
  <c r="C21" i="55"/>
  <c r="J15" i="11"/>
  <c r="K15" i="11" s="1"/>
  <c r="J33" i="11"/>
  <c r="K33" i="11" s="1"/>
  <c r="J11" i="12"/>
  <c r="K11" i="12" s="1"/>
  <c r="J41" i="14"/>
  <c r="E54" i="57"/>
  <c r="P36" i="44"/>
  <c r="I28" i="8"/>
  <c r="J19" i="9"/>
  <c r="J15" i="9"/>
  <c r="J35" i="9"/>
  <c r="B9" i="3"/>
  <c r="E19" i="8"/>
  <c r="J19" i="8" s="1"/>
  <c r="E25" i="8"/>
  <c r="E27" i="8"/>
  <c r="E28" i="8"/>
  <c r="J43" i="14"/>
  <c r="C32" i="21"/>
  <c r="D9" i="1" s="1"/>
  <c r="F53" i="62"/>
  <c r="J31" i="13"/>
  <c r="I46" i="13"/>
  <c r="C21" i="24"/>
  <c r="G55" i="57"/>
  <c r="C23" i="4"/>
  <c r="C17" i="41"/>
  <c r="E18" i="8"/>
  <c r="I20" i="8"/>
  <c r="E35" i="8"/>
  <c r="E43" i="8"/>
  <c r="J17" i="12"/>
  <c r="K17" i="12" s="1"/>
  <c r="J21" i="12"/>
  <c r="K21" i="12" s="1"/>
  <c r="J27" i="12"/>
  <c r="K27" i="12" s="1"/>
  <c r="J35" i="12"/>
  <c r="K35" i="12" s="1"/>
  <c r="J43" i="15"/>
  <c r="D46" i="15"/>
  <c r="D48" i="15" s="1"/>
  <c r="H35" i="33"/>
  <c r="F50" i="33"/>
  <c r="B33" i="33" s="1"/>
  <c r="B34" i="33" s="1"/>
  <c r="F37" i="62"/>
  <c r="J43" i="9"/>
  <c r="I43" i="8"/>
  <c r="Q34" i="44"/>
  <c r="Q27" i="44"/>
  <c r="Q29" i="44"/>
  <c r="C12" i="63"/>
  <c r="F12" i="63" s="1"/>
  <c r="E28" i="63"/>
  <c r="I17" i="41"/>
  <c r="B23" i="4"/>
  <c r="J8" i="41"/>
  <c r="J11" i="41" s="1"/>
  <c r="E11" i="41"/>
  <c r="E17" i="41" s="1"/>
  <c r="E10" i="8"/>
  <c r="I11" i="8"/>
  <c r="J11" i="8" s="1"/>
  <c r="I12" i="8"/>
  <c r="E15" i="8"/>
  <c r="I17" i="8"/>
  <c r="E20" i="8"/>
  <c r="I21" i="8"/>
  <c r="E23" i="8"/>
  <c r="E24" i="8"/>
  <c r="E30" i="8"/>
  <c r="E32" i="8"/>
  <c r="E36" i="8"/>
  <c r="E38" i="8"/>
  <c r="E39" i="8"/>
  <c r="E40" i="8"/>
  <c r="E42" i="8"/>
  <c r="I42" i="8"/>
  <c r="K48" i="8"/>
  <c r="D21" i="2" s="1"/>
  <c r="J11" i="9"/>
  <c r="G57" i="9"/>
  <c r="J43" i="11"/>
  <c r="K43" i="11" s="1"/>
  <c r="J13" i="12"/>
  <c r="K13" i="12" s="1"/>
  <c r="J23" i="12"/>
  <c r="K23" i="12" s="1"/>
  <c r="J31" i="12"/>
  <c r="K31" i="12" s="1"/>
  <c r="J37" i="12"/>
  <c r="K37" i="12" s="1"/>
  <c r="J39" i="12"/>
  <c r="K39" i="12" s="1"/>
  <c r="J10" i="13"/>
  <c r="K10" i="13" s="1"/>
  <c r="J11" i="13"/>
  <c r="J15" i="13"/>
  <c r="J23" i="13"/>
  <c r="J37" i="13"/>
  <c r="J21" i="14"/>
  <c r="K21" i="14" s="1"/>
  <c r="J17" i="15"/>
  <c r="J21" i="15"/>
  <c r="J25" i="15"/>
  <c r="J29" i="15"/>
  <c r="J33" i="15"/>
  <c r="J37" i="15"/>
  <c r="G46" i="61"/>
  <c r="F26" i="55"/>
  <c r="F46" i="61"/>
  <c r="Q33" i="44"/>
  <c r="E25" i="25"/>
  <c r="I15" i="32"/>
  <c r="I18" i="32" s="1"/>
  <c r="G35" i="33"/>
  <c r="D21" i="1" s="1"/>
  <c r="J34" i="33"/>
  <c r="F45" i="34"/>
  <c r="F55" i="57"/>
  <c r="I55" i="57"/>
  <c r="I56" i="57" s="1"/>
  <c r="C55" i="57"/>
  <c r="P16" i="80"/>
  <c r="I16" i="61"/>
  <c r="B24" i="6" s="1"/>
  <c r="C46" i="61"/>
  <c r="I32" i="61"/>
  <c r="I35" i="61"/>
  <c r="F10" i="62"/>
  <c r="B20" i="33"/>
  <c r="C43" i="56"/>
  <c r="C23" i="55"/>
  <c r="B11" i="3"/>
  <c r="I40" i="9"/>
  <c r="G40" i="8"/>
  <c r="I40" i="8" s="1"/>
  <c r="I19" i="8"/>
  <c r="E37" i="8"/>
  <c r="J11" i="11"/>
  <c r="K11" i="11" s="1"/>
  <c r="J13" i="13"/>
  <c r="J27" i="13"/>
  <c r="J35" i="13"/>
  <c r="J43" i="13"/>
  <c r="K43" i="13" s="1"/>
  <c r="J13" i="15"/>
  <c r="K17" i="44"/>
  <c r="C38" i="44" s="1"/>
  <c r="D21" i="24"/>
  <c r="K22" i="57"/>
  <c r="E35" i="57"/>
  <c r="E37" i="57" s="1"/>
  <c r="E47" i="57"/>
  <c r="F19" i="63"/>
  <c r="I24" i="8"/>
  <c r="E29" i="8"/>
  <c r="Q26" i="44"/>
  <c r="I12" i="82"/>
  <c r="K33" i="57"/>
  <c r="I15" i="8"/>
  <c r="E22" i="8"/>
  <c r="I32" i="8"/>
  <c r="J13" i="11"/>
  <c r="K13" i="11" s="1"/>
  <c r="J35" i="11"/>
  <c r="K35" i="11" s="1"/>
  <c r="J21" i="13"/>
  <c r="J29" i="13"/>
  <c r="J13" i="14"/>
  <c r="K13" i="14" s="1"/>
  <c r="J19" i="14"/>
  <c r="K19" i="14" s="1"/>
  <c r="J23" i="15"/>
  <c r="J31" i="15"/>
  <c r="J39" i="15"/>
  <c r="C22" i="57"/>
  <c r="K35" i="57"/>
  <c r="I40" i="61"/>
  <c r="B14" i="6" s="1"/>
  <c r="F39" i="62"/>
  <c r="E22" i="24"/>
  <c r="K25" i="61"/>
  <c r="E13" i="8"/>
  <c r="J21" i="9"/>
  <c r="J15" i="12"/>
  <c r="K15" i="12" s="1"/>
  <c r="E17" i="57"/>
  <c r="G56" i="57"/>
  <c r="D54" i="62"/>
  <c r="D64" i="62" s="1"/>
  <c r="D67" i="62" s="1"/>
  <c r="D16" i="1"/>
  <c r="D22" i="4"/>
  <c r="J14" i="41"/>
  <c r="J16" i="41" s="1"/>
  <c r="J17" i="41" s="1"/>
  <c r="I18" i="8"/>
  <c r="E33" i="8"/>
  <c r="I38" i="8"/>
  <c r="E41" i="8"/>
  <c r="E23" i="22"/>
  <c r="J20" i="33"/>
  <c r="H56" i="57"/>
  <c r="D55" i="57"/>
  <c r="D56" i="57" s="1"/>
  <c r="J39" i="11"/>
  <c r="K39" i="11" s="1"/>
  <c r="J43" i="12"/>
  <c r="K43" i="12" s="1"/>
  <c r="F56" i="57"/>
  <c r="E16" i="61"/>
  <c r="C26" i="63"/>
  <c r="F36" i="55"/>
  <c r="C16" i="1"/>
  <c r="F17" i="41"/>
  <c r="E26" i="8"/>
  <c r="E31" i="8"/>
  <c r="J39" i="13"/>
  <c r="F48" i="13"/>
  <c r="I48" i="13" s="1"/>
  <c r="J11" i="15"/>
  <c r="J19" i="15"/>
  <c r="J27" i="15"/>
  <c r="J35" i="15"/>
  <c r="C53" i="34"/>
  <c r="F38" i="55"/>
  <c r="K47" i="57"/>
  <c r="J24" i="58"/>
  <c r="F16" i="55" s="1"/>
  <c r="G16" i="80"/>
  <c r="E54" i="62"/>
  <c r="E64" i="62" s="1"/>
  <c r="E67" i="62" s="1"/>
  <c r="D17" i="41"/>
  <c r="E23" i="4"/>
  <c r="D13" i="2" s="1"/>
  <c r="D17" i="2" s="1"/>
  <c r="G17" i="41"/>
  <c r="C48" i="18"/>
  <c r="D25" i="2" s="1"/>
  <c r="I35" i="33"/>
  <c r="K28" i="57"/>
  <c r="J56" i="57"/>
  <c r="E12" i="8"/>
  <c r="E21" i="8"/>
  <c r="J33" i="9"/>
  <c r="J19" i="12"/>
  <c r="K19" i="12" s="1"/>
  <c r="J19" i="13"/>
  <c r="J33" i="13"/>
  <c r="B47" i="18"/>
  <c r="B48" i="18" s="1"/>
  <c r="C25" i="2" s="1"/>
  <c r="L22" i="37"/>
  <c r="K54" i="57"/>
  <c r="Q30" i="44"/>
  <c r="Q31" i="44"/>
  <c r="Q32" i="44"/>
  <c r="Q28" i="44"/>
  <c r="H17" i="41"/>
  <c r="G27" i="14"/>
  <c r="I27" i="14" s="1"/>
  <c r="J27" i="14" s="1"/>
  <c r="D12" i="4"/>
  <c r="F46" i="8"/>
  <c r="F48" i="8" s="1"/>
  <c r="D17" i="8"/>
  <c r="E17" i="8" s="1"/>
  <c r="E17" i="11"/>
  <c r="J17" i="11" s="1"/>
  <c r="K17" i="11" s="1"/>
  <c r="I46" i="11"/>
  <c r="F48" i="11"/>
  <c r="D17" i="21"/>
  <c r="D23" i="21" s="1"/>
  <c r="D24" i="21" s="1"/>
  <c r="I42" i="9"/>
  <c r="J27" i="11"/>
  <c r="K27" i="11" s="1"/>
  <c r="J15" i="14"/>
  <c r="K15" i="14" s="1"/>
  <c r="J46" i="34"/>
  <c r="I36" i="9"/>
  <c r="G36" i="8"/>
  <c r="I36" i="8" s="1"/>
  <c r="E46" i="12"/>
  <c r="I30" i="14"/>
  <c r="G30" i="8"/>
  <c r="I30" i="8" s="1"/>
  <c r="E46" i="15"/>
  <c r="J10" i="15"/>
  <c r="K10" i="15" s="1"/>
  <c r="F57" i="62"/>
  <c r="G31" i="14"/>
  <c r="I31" i="14" s="1"/>
  <c r="J31" i="14" s="1"/>
  <c r="B15" i="32"/>
  <c r="B18" i="32" s="1"/>
  <c r="E7" i="32"/>
  <c r="E15" i="32" s="1"/>
  <c r="G26" i="8"/>
  <c r="I26" i="8" s="1"/>
  <c r="I26" i="14"/>
  <c r="E34" i="8"/>
  <c r="G43" i="8"/>
  <c r="E19" i="22"/>
  <c r="C26" i="22"/>
  <c r="E26" i="22" s="1"/>
  <c r="F17" i="24"/>
  <c r="F21" i="24" s="1"/>
  <c r="G14" i="37"/>
  <c r="C59" i="62" s="1"/>
  <c r="F59" i="62" s="1"/>
  <c r="B22" i="37"/>
  <c r="G22" i="37" s="1"/>
  <c r="C24" i="1" s="1"/>
  <c r="E22" i="57"/>
  <c r="E17" i="13"/>
  <c r="J17" i="13" s="1"/>
  <c r="D46" i="13"/>
  <c r="D48" i="13" s="1"/>
  <c r="D24" i="1"/>
  <c r="I22" i="8"/>
  <c r="G13" i="8"/>
  <c r="I13" i="8" s="1"/>
  <c r="I13" i="9"/>
  <c r="J13" i="9" s="1"/>
  <c r="I38" i="9"/>
  <c r="J21" i="11"/>
  <c r="K21" i="11" s="1"/>
  <c r="J11" i="14"/>
  <c r="K11" i="14" s="1"/>
  <c r="F8" i="33"/>
  <c r="F20" i="33" s="1"/>
  <c r="D94" i="54"/>
  <c r="D102" i="54" s="1"/>
  <c r="E10" i="53"/>
  <c r="E46" i="53" s="1"/>
  <c r="G23" i="14"/>
  <c r="G34" i="8"/>
  <c r="I34" i="8" s="1"/>
  <c r="I34" i="14"/>
  <c r="H27" i="22"/>
  <c r="C9" i="22"/>
  <c r="B9" i="34"/>
  <c r="F9" i="34" s="1"/>
  <c r="I23" i="82"/>
  <c r="G39" i="14"/>
  <c r="I39" i="14" s="1"/>
  <c r="J39" i="14" s="1"/>
  <c r="I16" i="8"/>
  <c r="I39" i="9"/>
  <c r="J39" i="9" s="1"/>
  <c r="E46" i="13"/>
  <c r="G35" i="14"/>
  <c r="I48" i="15"/>
  <c r="B46" i="34"/>
  <c r="I14" i="8"/>
  <c r="G27" i="9"/>
  <c r="G46" i="12"/>
  <c r="I25" i="12"/>
  <c r="J25" i="12" s="1"/>
  <c r="K25" i="12" s="1"/>
  <c r="D18" i="32"/>
  <c r="E17" i="32"/>
  <c r="K37" i="57"/>
  <c r="I21" i="61"/>
  <c r="I24" i="61" s="1"/>
  <c r="B26" i="6" s="1"/>
  <c r="E24" i="61"/>
  <c r="C46" i="8"/>
  <c r="C48" i="8" s="1"/>
  <c r="J10" i="9"/>
  <c r="G56" i="9"/>
  <c r="E46" i="11"/>
  <c r="J15" i="15"/>
  <c r="G29" i="9"/>
  <c r="F48" i="14"/>
  <c r="I46" i="15"/>
  <c r="F30" i="55"/>
  <c r="F31" i="62"/>
  <c r="D19" i="63"/>
  <c r="D28" i="63" s="1"/>
  <c r="E17" i="14"/>
  <c r="J17" i="14" s="1"/>
  <c r="K17" i="14" s="1"/>
  <c r="E17" i="9"/>
  <c r="G41" i="9"/>
  <c r="H10" i="14"/>
  <c r="I10" i="14" s="1"/>
  <c r="J10" i="14" s="1"/>
  <c r="K10" i="14" s="1"/>
  <c r="K46" i="14" s="1"/>
  <c r="K48" i="14" s="1"/>
  <c r="G25" i="14"/>
  <c r="I25" i="14" s="1"/>
  <c r="J25" i="14" s="1"/>
  <c r="G29" i="14"/>
  <c r="I29" i="14" s="1"/>
  <c r="J29" i="14" s="1"/>
  <c r="G33" i="14"/>
  <c r="G37" i="14"/>
  <c r="I37" i="14" s="1"/>
  <c r="J37" i="14" s="1"/>
  <c r="E20" i="33"/>
  <c r="E35" i="33" s="1"/>
  <c r="C26" i="62"/>
  <c r="F26" i="62" s="1"/>
  <c r="F27" i="62" s="1"/>
  <c r="E36" i="61"/>
  <c r="I36" i="61" s="1"/>
  <c r="F13" i="62"/>
  <c r="F15" i="62" s="1"/>
  <c r="F47" i="62"/>
  <c r="B48" i="11"/>
  <c r="E48" i="11" s="1"/>
  <c r="H10" i="12"/>
  <c r="I20" i="82"/>
  <c r="K11" i="82" s="1"/>
  <c r="K12" i="82" s="1"/>
  <c r="K14" i="82" s="1"/>
  <c r="N24" i="58"/>
  <c r="G41" i="33"/>
  <c r="G50" i="33" s="1"/>
  <c r="D24" i="61"/>
  <c r="C10" i="24" s="1"/>
  <c r="C11" i="24" s="1"/>
  <c r="F25" i="63"/>
  <c r="F26" i="63" s="1"/>
  <c r="J21" i="8" l="1"/>
  <c r="F46" i="34"/>
  <c r="C22" i="1" s="1"/>
  <c r="C51" i="53"/>
  <c r="B35" i="33"/>
  <c r="C52" i="55"/>
  <c r="B28" i="6"/>
  <c r="B36" i="6" s="1"/>
  <c r="C15" i="2" s="1"/>
  <c r="F33" i="33"/>
  <c r="F34" i="33" s="1"/>
  <c r="C28" i="63"/>
  <c r="D46" i="8"/>
  <c r="D48" i="8" s="1"/>
  <c r="J43" i="8"/>
  <c r="E17" i="24"/>
  <c r="J35" i="33"/>
  <c r="J17" i="8"/>
  <c r="E21" i="24"/>
  <c r="E46" i="8"/>
  <c r="E48" i="8" s="1"/>
  <c r="Q36" i="44"/>
  <c r="D38" i="44" s="1"/>
  <c r="E38" i="44" s="1"/>
  <c r="J13" i="8"/>
  <c r="C56" i="57"/>
  <c r="D27" i="2"/>
  <c r="K55" i="57"/>
  <c r="K56" i="57" s="1"/>
  <c r="C27" i="62"/>
  <c r="G58" i="9"/>
  <c r="D27" i="1"/>
  <c r="D28" i="1" s="1"/>
  <c r="J15" i="8"/>
  <c r="E55" i="57"/>
  <c r="E56" i="57" s="1"/>
  <c r="D18" i="24"/>
  <c r="D20" i="24" s="1"/>
  <c r="D23" i="24" s="1"/>
  <c r="D23" i="4"/>
  <c r="C13" i="2" s="1"/>
  <c r="F54" i="62"/>
  <c r="J46" i="11"/>
  <c r="K46" i="11" s="1"/>
  <c r="G46" i="9"/>
  <c r="G48" i="9" s="1"/>
  <c r="I48" i="9" s="1"/>
  <c r="F35" i="33"/>
  <c r="C21" i="1" s="1"/>
  <c r="E10" i="24"/>
  <c r="I33" i="14"/>
  <c r="J33" i="14" s="1"/>
  <c r="G33" i="8"/>
  <c r="I33" i="8" s="1"/>
  <c r="J33" i="8" s="1"/>
  <c r="E18" i="32"/>
  <c r="C20" i="1" s="1"/>
  <c r="G31" i="8"/>
  <c r="I31" i="8" s="1"/>
  <c r="J31" i="8" s="1"/>
  <c r="I31" i="9"/>
  <c r="J31" i="9" s="1"/>
  <c r="F18" i="24"/>
  <c r="F20" i="24" s="1"/>
  <c r="F23" i="24" s="1"/>
  <c r="E48" i="12"/>
  <c r="E9" i="22"/>
  <c r="C18" i="22"/>
  <c r="G23" i="8"/>
  <c r="I23" i="8" s="1"/>
  <c r="J23" i="8" s="1"/>
  <c r="I23" i="9"/>
  <c r="J23" i="9" s="1"/>
  <c r="I48" i="11"/>
  <c r="J48" i="11" s="1"/>
  <c r="K48" i="11" s="1"/>
  <c r="G37" i="8"/>
  <c r="I37" i="8" s="1"/>
  <c r="J37" i="8" s="1"/>
  <c r="I37" i="9"/>
  <c r="J37" i="9" s="1"/>
  <c r="G41" i="8"/>
  <c r="I41" i="8" s="1"/>
  <c r="J41" i="8" s="1"/>
  <c r="I41" i="9"/>
  <c r="J41" i="9" s="1"/>
  <c r="I27" i="9"/>
  <c r="J27" i="9" s="1"/>
  <c r="G27" i="8"/>
  <c r="I27" i="8" s="1"/>
  <c r="J27" i="8" s="1"/>
  <c r="E48" i="15"/>
  <c r="J48" i="15" s="1"/>
  <c r="J46" i="15"/>
  <c r="G29" i="8"/>
  <c r="I29" i="8" s="1"/>
  <c r="J29" i="8" s="1"/>
  <c r="I29" i="9"/>
  <c r="J29" i="9" s="1"/>
  <c r="J17" i="9"/>
  <c r="E46" i="9"/>
  <c r="G25" i="8"/>
  <c r="I25" i="8" s="1"/>
  <c r="J25" i="8" s="1"/>
  <c r="I25" i="9"/>
  <c r="J25" i="9" s="1"/>
  <c r="G39" i="8"/>
  <c r="I39" i="8" s="1"/>
  <c r="J39" i="8" s="1"/>
  <c r="E46" i="14"/>
  <c r="D46" i="61"/>
  <c r="E46" i="61" s="1"/>
  <c r="I46" i="61" s="1"/>
  <c r="H10" i="8"/>
  <c r="I10" i="12"/>
  <c r="J10" i="12" s="1"/>
  <c r="K10" i="12" s="1"/>
  <c r="C61" i="62"/>
  <c r="I35" i="14"/>
  <c r="J35" i="14" s="1"/>
  <c r="G35" i="8"/>
  <c r="I35" i="8" s="1"/>
  <c r="J35" i="8" s="1"/>
  <c r="F28" i="63"/>
  <c r="I46" i="12"/>
  <c r="J46" i="12" s="1"/>
  <c r="K46" i="12" s="1"/>
  <c r="G48" i="12"/>
  <c r="I48" i="12" s="1"/>
  <c r="I23" i="14"/>
  <c r="J23" i="14" s="1"/>
  <c r="G46" i="14"/>
  <c r="F61" i="62"/>
  <c r="F64" i="62" s="1"/>
  <c r="F67" i="62" s="1"/>
  <c r="D17" i="4"/>
  <c r="J46" i="13"/>
  <c r="K46" i="13" s="1"/>
  <c r="E48" i="13"/>
  <c r="J48" i="13" s="1"/>
  <c r="K48" i="13" s="1"/>
  <c r="F8" i="55" l="1"/>
  <c r="F52" i="55" s="1"/>
  <c r="D60" i="55" s="1"/>
  <c r="M56" i="57"/>
  <c r="I46" i="9"/>
  <c r="J46" i="9" s="1"/>
  <c r="C64" i="62"/>
  <c r="C67" i="62" s="1"/>
  <c r="E48" i="9"/>
  <c r="J48" i="9" s="1"/>
  <c r="K48" i="9" s="1"/>
  <c r="H46" i="8"/>
  <c r="H48" i="8" s="1"/>
  <c r="I10" i="8"/>
  <c r="C20" i="22"/>
  <c r="C27" i="22"/>
  <c r="E27" i="22" s="1"/>
  <c r="E18" i="22"/>
  <c r="C13" i="24"/>
  <c r="E11" i="24"/>
  <c r="G46" i="8"/>
  <c r="G48" i="8" s="1"/>
  <c r="G48" i="14"/>
  <c r="I48" i="14" s="1"/>
  <c r="I46" i="14"/>
  <c r="J46" i="14" s="1"/>
  <c r="E48" i="14"/>
  <c r="J48" i="12"/>
  <c r="K48" i="12" s="1"/>
  <c r="J48" i="14" l="1"/>
  <c r="C18" i="24"/>
  <c r="E13" i="24"/>
  <c r="E20" i="22"/>
  <c r="C25" i="22"/>
  <c r="E25" i="22" s="1"/>
  <c r="C25" i="1"/>
  <c r="C27" i="1" s="1"/>
  <c r="C28" i="1" s="1"/>
  <c r="B10" i="3" s="1"/>
  <c r="B12" i="3" s="1"/>
  <c r="C9" i="2" s="1"/>
  <c r="C17" i="2" s="1"/>
  <c r="I48" i="8"/>
  <c r="J48" i="8" s="1"/>
  <c r="I46" i="8"/>
  <c r="J10" i="8"/>
  <c r="J46" i="8" s="1"/>
  <c r="C21" i="2" l="1"/>
  <c r="C27" i="2" s="1"/>
  <c r="J58" i="8"/>
  <c r="C20" i="24"/>
  <c r="E18" i="24"/>
  <c r="C23" i="24" l="1"/>
  <c r="E23" i="24" s="1"/>
  <c r="E20" i="24"/>
  <c r="J40" i="42"/>
  <c r="J298" i="42" s="1"/>
  <c r="D40" i="42"/>
  <c r="D298" i="42" s="1"/>
  <c r="H40" i="42"/>
  <c r="H298" i="42" s="1"/>
  <c r="F40" i="42"/>
  <c r="F298" i="42" s="1"/>
  <c r="G40" i="42"/>
  <c r="G298" i="42" s="1"/>
  <c r="C40" i="42"/>
  <c r="C298" i="42" s="1"/>
  <c r="K298" i="42"/>
  <c r="E40" i="42"/>
  <c r="E298" i="42" s="1"/>
  <c r="I40" i="42"/>
  <c r="I298" i="42" s="1"/>
</calcChain>
</file>

<file path=xl/sharedStrings.xml><?xml version="1.0" encoding="utf-8"?>
<sst xmlns="http://schemas.openxmlformats.org/spreadsheetml/2006/main" count="3150" uniqueCount="1930">
  <si>
    <t>INDIAN COUNCIL OF AGRICULTURAL RESEARCH</t>
  </si>
  <si>
    <t>CONSOLIDATED ANNUAL ACCOUNTS 2022-23</t>
  </si>
  <si>
    <r>
      <rPr>
        <b/>
        <sz val="12"/>
        <rFont val="Arial"/>
        <family val="2"/>
      </rPr>
      <t>BALANCE SHEET AS ON 31</t>
    </r>
    <r>
      <rPr>
        <b/>
        <vertAlign val="superscript"/>
        <sz val="12"/>
        <rFont val="Arial"/>
        <family val="2"/>
      </rPr>
      <t>ST</t>
    </r>
    <r>
      <rPr>
        <b/>
        <sz val="12"/>
        <rFont val="Arial"/>
        <family val="2"/>
      </rPr>
      <t xml:space="preserve"> MARCH 2023</t>
    </r>
  </si>
  <si>
    <t>(Amount in Rupees)</t>
  </si>
  <si>
    <t>Corpus/Capital Fund &amp; Liabilities</t>
  </si>
  <si>
    <t>Schedule</t>
  </si>
  <si>
    <t>Current Year</t>
  </si>
  <si>
    <t>Previous Year</t>
  </si>
  <si>
    <t>Capital Fund</t>
  </si>
  <si>
    <t>Reserves</t>
  </si>
  <si>
    <t>Earmarked/Endowment Fund</t>
  </si>
  <si>
    <t>Current Liabilities &amp; Provisions</t>
  </si>
  <si>
    <t>Total</t>
  </si>
  <si>
    <t>Assets</t>
  </si>
  <si>
    <t>Fixed Assets</t>
  </si>
  <si>
    <t>Investments – Earmarked/Endowment Funds</t>
  </si>
  <si>
    <t>Current Assets, Loans &amp; Advances</t>
  </si>
  <si>
    <t>Significant Accounting Policies</t>
  </si>
  <si>
    <t>Contingent Liabilities &amp; Notes to Accounts</t>
  </si>
  <si>
    <t xml:space="preserve"> Director</t>
  </si>
  <si>
    <t>Sr. Comptroller/Comptroller/CF&amp;AO/SF&amp;AO/F&amp;AO/AF&amp;AO</t>
  </si>
  <si>
    <t>CONSOLIDATED ANNUAL ACCOUNTS  2022-23</t>
  </si>
  <si>
    <r>
      <rPr>
        <b/>
        <sz val="12"/>
        <rFont val="Arial"/>
        <family val="2"/>
      </rPr>
      <t>INCOME &amp; EXPENDITURE ACCOUNT FOR THE YEAR ENDED 31</t>
    </r>
    <r>
      <rPr>
        <b/>
        <vertAlign val="superscript"/>
        <sz val="12"/>
        <rFont val="Arial"/>
        <family val="2"/>
      </rPr>
      <t>ST</t>
    </r>
    <r>
      <rPr>
        <b/>
        <sz val="12"/>
        <rFont val="Arial"/>
        <family val="2"/>
      </rPr>
      <t xml:space="preserve"> MARCH 2023</t>
    </r>
  </si>
  <si>
    <t>A. Income</t>
  </si>
  <si>
    <t>Income from Sales/Service</t>
  </si>
  <si>
    <t>Grants in aid/subsidies</t>
  </si>
  <si>
    <t>Fees/Subscriptions</t>
  </si>
  <si>
    <t>Income from Investments</t>
  </si>
  <si>
    <t>Income from Royalty, Publications</t>
  </si>
  <si>
    <t>Interest earned</t>
  </si>
  <si>
    <t>Other Income</t>
  </si>
  <si>
    <t>Prior Period Income</t>
  </si>
  <si>
    <t>Total (A)</t>
  </si>
  <si>
    <t>B. Expenditure</t>
  </si>
  <si>
    <t>Establishment expenses</t>
  </si>
  <si>
    <t>Research &amp; Operational Expenses</t>
  </si>
  <si>
    <t>Administrative expenses</t>
  </si>
  <si>
    <t>Grants and subsidies</t>
  </si>
  <si>
    <t>Miscellaneous expenses</t>
  </si>
  <si>
    <t>Depreciation</t>
  </si>
  <si>
    <t>Prior period expenditure</t>
  </si>
  <si>
    <t>Total (B)</t>
  </si>
  <si>
    <t>Balance being surplus/(Deficit) carried to corpus/Capital Fund</t>
  </si>
  <si>
    <t>ANNUAL ACCOUNTS  2022-23</t>
  </si>
  <si>
    <r>
      <rPr>
        <b/>
        <sz val="12"/>
        <rFont val="Arial Black"/>
        <family val="2"/>
      </rPr>
      <t>SCHEDULES FORMING PART OF BALANCE SHEET AS ON 31</t>
    </r>
    <r>
      <rPr>
        <b/>
        <vertAlign val="superscript"/>
        <sz val="12"/>
        <rFont val="Arial Black"/>
        <family val="2"/>
      </rPr>
      <t>ST</t>
    </r>
    <r>
      <rPr>
        <b/>
        <sz val="12"/>
        <rFont val="Arial Black"/>
        <family val="2"/>
      </rPr>
      <t xml:space="preserve"> MARCH 2023</t>
    </r>
  </si>
  <si>
    <t>Schedule 1 – Capital Fund</t>
  </si>
  <si>
    <t>Balance at the beginning of the year</t>
  </si>
  <si>
    <t>Add : Grants utilized for capital expenditure**</t>
  </si>
  <si>
    <t>Add: Funds of Sponsored Projects/Schemes utilized for capital expenditure</t>
  </si>
  <si>
    <t>Add Net Income/expenditure transferred from the Income &amp; Expenditure account</t>
  </si>
  <si>
    <t>Add/Less: Adjustment to/from Capital Fund *</t>
  </si>
  <si>
    <t>Balance at the year end</t>
  </si>
  <si>
    <t>Schedule 2 – Reserves</t>
  </si>
  <si>
    <t xml:space="preserve">1. Capital Reserve </t>
  </si>
  <si>
    <t>As per last account</t>
  </si>
  <si>
    <t>Add value of assets acquired/donated out of sponsored project funds</t>
  </si>
  <si>
    <t>Add Free gifts</t>
  </si>
  <si>
    <t>Less Deductions during the year</t>
  </si>
  <si>
    <t xml:space="preserve">* Detailed break-up of the 'Adjustment from Capital Fund'  may be furnished </t>
  </si>
  <si>
    <t>Finance &amp; Accounts Officer</t>
  </si>
  <si>
    <t>Break up of Grants utilised for Capital Exp during 2022-23</t>
  </si>
  <si>
    <t>Taken in Sch-5</t>
  </si>
  <si>
    <t>Taken in Sch-7</t>
  </si>
  <si>
    <t>Works</t>
  </si>
  <si>
    <t>Other than works</t>
  </si>
  <si>
    <t>i)  Govt. Grant</t>
  </si>
  <si>
    <t>ii) NAHEP</t>
  </si>
  <si>
    <t>**  Total should match with figure shown under 'Grants Utilized for Capital expenditure'.</t>
  </si>
  <si>
    <t>Amount in Rupees</t>
  </si>
  <si>
    <t>Schedule 3 : Earmarked/   Endowment Funds</t>
  </si>
  <si>
    <t>Fund-wise Break up</t>
  </si>
  <si>
    <t>Total                         Current year</t>
  </si>
  <si>
    <t xml:space="preserve">Earmarked </t>
  </si>
  <si>
    <t>Endowment</t>
  </si>
  <si>
    <t>A) Opening Balance</t>
  </si>
  <si>
    <t>B) Additions during the year</t>
  </si>
  <si>
    <r>
      <rPr>
        <b/>
        <sz val="11"/>
        <rFont val="Arial"/>
        <family val="2"/>
      </rPr>
      <t>i) Income from investments made from the funds(</t>
    </r>
    <r>
      <rPr>
        <b/>
        <sz val="16"/>
        <rFont val="Arial"/>
        <family val="2"/>
      </rPr>
      <t>*)</t>
    </r>
  </si>
  <si>
    <t>ii) Other additions (Please Specify in Notes to Accounts)</t>
  </si>
  <si>
    <t>Total {(a) + (b)}</t>
  </si>
  <si>
    <t>c) Utilisation/Expenditure towards objectives of funds</t>
  </si>
  <si>
    <t>i) Revenue Expenditure</t>
  </si>
  <si>
    <t xml:space="preserve">   - Revenue Expenditure</t>
  </si>
  <si>
    <t xml:space="preserve">   - Grants to families to deceased employees</t>
  </si>
  <si>
    <t xml:space="preserve">   - Exgratia payments to employees on Compassionate grounds</t>
  </si>
  <si>
    <t xml:space="preserve">   - Scholarship – Hostel subsidy</t>
  </si>
  <si>
    <t xml:space="preserve">   - Subsidy for books</t>
  </si>
  <si>
    <t xml:space="preserve">  (ii) Capital Expenditure</t>
  </si>
  <si>
    <t>Refunds/ Transfer to Current Liabilities - Sponsored Projects</t>
  </si>
  <si>
    <t>Total ( c )</t>
  </si>
  <si>
    <t>Closing balance at the year end (a+b-c)</t>
  </si>
  <si>
    <r>
      <rPr>
        <b/>
        <sz val="10"/>
        <rFont val="Arial"/>
        <family val="2"/>
      </rPr>
      <t>(</t>
    </r>
    <r>
      <rPr>
        <b/>
        <sz val="16"/>
        <rFont val="Arial"/>
        <family val="2"/>
      </rPr>
      <t>*)</t>
    </r>
    <r>
      <rPr>
        <b/>
        <sz val="10"/>
        <rFont val="Arial"/>
        <family val="2"/>
      </rPr>
      <t xml:space="preserve"> Interest earned in Earmarked/Endowment Funds invested  in term deposits should be included.</t>
    </r>
  </si>
  <si>
    <t>.</t>
  </si>
  <si>
    <t>Sub-schedule to Schedule 3 giving details of Earmarked / Endowment Funds</t>
  </si>
  <si>
    <t>Sr. No.</t>
  </si>
  <si>
    <t>Name of Earmarked/ Endowment Funds</t>
  </si>
  <si>
    <t>Opening Balance</t>
  </si>
  <si>
    <t>Receipts during the year</t>
  </si>
  <si>
    <t>Total funds</t>
  </si>
  <si>
    <t>Expenditure during the year</t>
  </si>
  <si>
    <t>Total Expenditure</t>
  </si>
  <si>
    <t>Refunds during the year</t>
  </si>
  <si>
    <t>Closing Balance</t>
  </si>
  <si>
    <t>Capital Expenditure</t>
  </si>
  <si>
    <t>Revenue Expenditure</t>
  </si>
  <si>
    <t>A) Earmarked Funds</t>
  </si>
  <si>
    <t>IRGS</t>
  </si>
  <si>
    <t>Total Earmarked Funds (B)</t>
  </si>
  <si>
    <t>B) Endowment Funds</t>
  </si>
  <si>
    <t>Best Institute Award</t>
  </si>
  <si>
    <t>Total Endowment Funds (C)</t>
  </si>
  <si>
    <t>Grand Total (A+B)</t>
  </si>
  <si>
    <t>Note: The Grand Total of this schedule should match with the Grand Total of Schedule 3.</t>
  </si>
  <si>
    <t>Schedule 4 – Current liabilities &amp; Provisions</t>
  </si>
  <si>
    <t>Current year</t>
  </si>
  <si>
    <t>Previous year</t>
  </si>
  <si>
    <t>A. CURRENT LIABILITIES</t>
  </si>
  <si>
    <t>1. Sundry Creditors:</t>
  </si>
  <si>
    <t>(a)   For goods</t>
  </si>
  <si>
    <t>(b)   For others  (Specify in Notes to Accounts)</t>
  </si>
  <si>
    <t>2. Advances received</t>
  </si>
  <si>
    <t>3. Deposits from staff</t>
  </si>
  <si>
    <t>4. Public Works Deposits</t>
  </si>
  <si>
    <t>5. Deposits others (EMD, Security Deposit)</t>
  </si>
  <si>
    <t>6. Statutory liabilities (GIS, GPF, TDS, Pension, Bonus, GST &amp; Other Taxes)</t>
  </si>
  <si>
    <t>a.      Overdue</t>
  </si>
  <si>
    <t>b.     Others (Specify in Notes to Accounts)</t>
  </si>
  <si>
    <t>7. Other current liabilities</t>
  </si>
  <si>
    <t>a)     Salary Payable</t>
  </si>
  <si>
    <t>b)     Other expenses</t>
  </si>
  <si>
    <t>c)     Receipts against ongoing sponsored/consultancy/projects(Net)</t>
  </si>
  <si>
    <t>d)     Receipts against sponsored conferences/Seminars(Net)</t>
  </si>
  <si>
    <t>e)     Intellectual fee for distribution</t>
  </si>
  <si>
    <t>f)     Loans and Advances</t>
  </si>
  <si>
    <t>8. Unutilized grants from Govt. of India – to be refunded</t>
  </si>
  <si>
    <t xml:space="preserve">Govt. Grant </t>
  </si>
  <si>
    <t xml:space="preserve">NAHEP </t>
  </si>
  <si>
    <t>9.  Closing Balance of Internal Resource Generation</t>
  </si>
  <si>
    <t>10. Book overdraft in Bank Account</t>
  </si>
  <si>
    <t>B. Provisions</t>
  </si>
  <si>
    <t>1.     Gratuity</t>
  </si>
  <si>
    <t>2.     Superannuation/Pension</t>
  </si>
  <si>
    <t>3.     Leave Encashment</t>
  </si>
  <si>
    <t>4.     Claims</t>
  </si>
  <si>
    <t>5.     Others (Specify in Notes to Accounts)</t>
  </si>
  <si>
    <t>Total(B)</t>
  </si>
  <si>
    <t>Total (A + B)</t>
  </si>
  <si>
    <t>Sub-schedule to Schedule 4 giving details of Sponsored projects / Schemes</t>
  </si>
  <si>
    <t>Name of Sponsored Projects</t>
  </si>
  <si>
    <t>Amount Lapsed During the year</t>
  </si>
  <si>
    <t>5 (3+4)</t>
  </si>
  <si>
    <t>10 (5-8-9-10)</t>
  </si>
  <si>
    <t>A</t>
  </si>
  <si>
    <t>Projects funded by outside Ministries/Department</t>
  </si>
  <si>
    <t>World Wild Fund Award</t>
  </si>
  <si>
    <t>MPEDA</t>
  </si>
  <si>
    <t>Miscellaneous</t>
  </si>
  <si>
    <t>BRJED</t>
  </si>
  <si>
    <t>Maharashtra Fisheries</t>
  </si>
  <si>
    <t>Deposit transferred to Institutes account due to closure of NAIP*</t>
  </si>
  <si>
    <t>Amount transferred on closure of MFP Veraval Account</t>
  </si>
  <si>
    <t>BRJED-2</t>
  </si>
  <si>
    <t>R-Deposit -Miscellaneous</t>
  </si>
  <si>
    <t>R-Deposit-Parliamentary Committee Visit</t>
  </si>
  <si>
    <t>DST-SEED</t>
  </si>
  <si>
    <t>EIC-Pictorial guidelines for fishes</t>
  </si>
  <si>
    <t>FSSAI-HM</t>
  </si>
  <si>
    <t>INCOIS-VDOSF</t>
  </si>
  <si>
    <t>MoFPI-CIDS</t>
  </si>
  <si>
    <t>DBT-Bacteriophages</t>
  </si>
  <si>
    <t>CDB-CWC-FT</t>
  </si>
  <si>
    <t>FSSAI-FORMALIN</t>
  </si>
  <si>
    <t>DST/Green,Clean Affordable energy(MSTCS)/19-20</t>
  </si>
  <si>
    <t>DST-LFTS</t>
  </si>
  <si>
    <t>FSSAI-NetSCoFAN/19-20</t>
  </si>
  <si>
    <t>R.Depo/World Fish Project (WFP)/19-20</t>
  </si>
  <si>
    <t>FSSAI/Reference Laboratory (RL)/19-20</t>
  </si>
  <si>
    <t>NSPAAD</t>
  </si>
  <si>
    <t>MoFPI-FFS</t>
  </si>
  <si>
    <t>Collaborative Research Project - Future Regregeration India (INDEE+) funded bu Norwegian University of Science &amp; Technology (NTNU) Norway</t>
  </si>
  <si>
    <t>SPB-FISHECON (State Planning Board, Kerala/A study on Evolution of policy, cost &amp; earnings of Fisheries units and income of fisher households)</t>
  </si>
  <si>
    <t>R.Depo/African Asian Rural Development Organisation</t>
  </si>
  <si>
    <t>Con.Res./Cochin shipyard Ltd for distribution of refrigerated mobile fish vending kiosks fisher women</t>
  </si>
  <si>
    <t>R.Deposit/Kelappaji College of Agrl. Eng. &amp; Tech. (KCAET)</t>
  </si>
  <si>
    <t>R. Deposit/Miscellaneous/17-18</t>
  </si>
  <si>
    <t>R.Deposit/Adman &amp; Nicobar Admn</t>
  </si>
  <si>
    <t>Dept. of Fisheries/QIAFCCVA/17-18</t>
  </si>
  <si>
    <t>US-AID/FPF/International Trg. Pgm</t>
  </si>
  <si>
    <t>R.Deposit/FSSAI/INFOLNET Program/17-18</t>
  </si>
  <si>
    <t>R.Deposit/Advanced Statistical Method/EIS/18-19</t>
  </si>
  <si>
    <t>R.Deposit/Samhithi NGO Trg./18-19</t>
  </si>
  <si>
    <t>R.Deposit/NFDB Training-Skill Development Program/18-19</t>
  </si>
  <si>
    <t>R.Deposit/FSSAI/Stakeholder Consultation Meeting/18-19</t>
  </si>
  <si>
    <t>R.Depo/Technical support for estt of dry fish production unit by Ummul Haira</t>
  </si>
  <si>
    <t>NABL-Assessor Trg. Course(ATC)/18-19</t>
  </si>
  <si>
    <t>R.Deposit/KUFOS- Training/18-19</t>
  </si>
  <si>
    <t>R.Depo/KCAET Trg./18-19</t>
  </si>
  <si>
    <t>FSSAI/Inter-laboratory method validation study/19-20</t>
  </si>
  <si>
    <t>R.Depo/KAU-KCAET Trg. For B.Tech students/19-20</t>
  </si>
  <si>
    <t>R.Depo/Student Research pgm/2019-20</t>
  </si>
  <si>
    <t>ASCI-Skill Trg. Pgm</t>
  </si>
  <si>
    <t>R.Depo/Inst. Charges transferred from EGREE Project/19-20</t>
  </si>
  <si>
    <t>R.Depo/Inst. Charges of EPGf/19-20</t>
  </si>
  <si>
    <t>R-Dep/Indian National Science Academy (INSA)</t>
  </si>
  <si>
    <t>R.Depo/Misc. Bank Credit</t>
  </si>
  <si>
    <t>R.Deposit /INS forINSA visiting fellowship payment to Dr. Remya S &amp; Dr. Toms C Joseph</t>
  </si>
  <si>
    <t>R.Depo/Trg. Pgm on Pre-processing &amp; Drying of Fish by Engg. Divn</t>
  </si>
  <si>
    <t>CONSULTANCY-M/S Blue Water</t>
  </si>
  <si>
    <t>Consultancy-St. George College, Aruvithara</t>
  </si>
  <si>
    <t>Consultancy- FITT, Chennai</t>
  </si>
  <si>
    <t>Consultancy-2014-15</t>
  </si>
  <si>
    <t>Consultancy-M/s Maghindra &amp; Mahindra Powerol division, Bombay</t>
  </si>
  <si>
    <t>Consultancy-V.V. Biotech Pvt. Ltd (A.P.)</t>
  </si>
  <si>
    <t>Consultancy- Ernakulam regional milk producers Union Ltd, Kochi</t>
  </si>
  <si>
    <t>Consultancy-Travancore Aquapets</t>
  </si>
  <si>
    <t>Consultancy- Accelerated Freeze drying Co. Ltd.., Alappuzha</t>
  </si>
  <si>
    <t>Consultancy- Samudra Shipyard Pvt.Ltd., Aroor</t>
  </si>
  <si>
    <t>Cosnsulatancy- 2015-16</t>
  </si>
  <si>
    <t>Consultancy-Sree Visakha Deep Sea fishing technocrats, Co-operative Marketing society ltd</t>
  </si>
  <si>
    <t>Consultancy-Ashok Leylands</t>
  </si>
  <si>
    <t>Consultancy-Net Fish, MPEDA</t>
  </si>
  <si>
    <t>Consultancy-ERCMPU</t>
  </si>
  <si>
    <t>Consultancy-CIFT Dryer SDL-55 SM</t>
  </si>
  <si>
    <t>Consultancy-Yanmar (P) Ltd</t>
  </si>
  <si>
    <t>R-Deposit-HP Cage Culture &amp; HPCC-Solan &amp; Una</t>
  </si>
  <si>
    <t>Consultancy-Self employed women association -SEWA</t>
  </si>
  <si>
    <t>Consultancy/Shandong Heavy Industries/17-18</t>
  </si>
  <si>
    <t>Consultancy/Govt. of Karnataka</t>
  </si>
  <si>
    <t>Consultancy/Andaman &amp; Nicobar Admn/FRP Boat Design</t>
  </si>
  <si>
    <t>Consultancy/KVK, Kottayam</t>
  </si>
  <si>
    <t>Consultancy Agency for Development of Aquaculture Kerala (ADAK) for setting up of Aquatic Health Laboratory (AAHL) at Odayam, Kerala</t>
  </si>
  <si>
    <t>Consultancy/Sailganga EU Exports for upgradation of microbilogical laboratory</t>
  </si>
  <si>
    <t>Consl. /IOCL/ forconducting tests using the new variant of diesel in ICAR-CIFT vessel and performance analysis of the fuel</t>
  </si>
  <si>
    <t>Technology Transfer of Fish Cutlets to M/s. Coral Experts</t>
  </si>
  <si>
    <t>Technology Transfer on Product optimization, nutrition profiling, process training &amp; shelf life study of value added frozen fishery products to M/s. Baby Marine Seafoods Retail Pvt. Ltd.</t>
  </si>
  <si>
    <t>Tech. Transferto Sanj Feed Technologies Pvt. Ltd. For production of protein hydrolysate from fishery waste</t>
  </si>
  <si>
    <t>Tech.Trg/Govt. of Kerala/Dept. of Fisheries/18-19</t>
  </si>
  <si>
    <t>Tech.Transfer/Ponnoos Fish Feed/ production of food from fish waste</t>
  </si>
  <si>
    <t>Tech.Transfer-Johnson K /production of seafood snacks</t>
  </si>
  <si>
    <t>Tech. Transfer/Green Marine-for processing and packaging of fish</t>
  </si>
  <si>
    <t>Tech.Transfer/Travancore Pickle for production of Fish Pickle</t>
  </si>
  <si>
    <t>Tech. Transfer/Mary Sunitha/18-19</t>
  </si>
  <si>
    <t>Tech. Transfer/FAB DYE KEM PVT. LTD./18-19</t>
  </si>
  <si>
    <t>Tech. Transfer/Mansoor O P for processing of frozen stuffed mussel recipes</t>
  </si>
  <si>
    <t>Tech. Transfer/Shahina Nishad/for production of Fish Pickle</t>
  </si>
  <si>
    <t>Tech. Transfer/Pentapalli Rambabu/For Insulated Fish Bag</t>
  </si>
  <si>
    <t>Tech. Transfer/Accelerated Freeze Drying Co</t>
  </si>
  <si>
    <t>Tech Transfer/Eklavya Biotech Pvt. Ltd./production of fish collagen peptide &amp; Hydroxyapatite</t>
  </si>
  <si>
    <t>Tech. Trans./Saneesh K S-fish pickle &amp; masala fried calm</t>
  </si>
  <si>
    <t>Tech. Transfer/Dasan K K – Fish pickle &amp; masala fried calm</t>
  </si>
  <si>
    <t>Tech. Transfer/Kallar Plantation</t>
  </si>
  <si>
    <t>Tech. Trnfr/Foo foods/Retort processed ready to cook mussels</t>
  </si>
  <si>
    <t>Tech. Transfer/Britto Seafoods Exports Pvt. Ltd./design of clam shucking equipment</t>
  </si>
  <si>
    <t>Tech. Transfer-M/s. Ponnoos Fish Feed - production of fish cutlet &amp; pickle</t>
  </si>
  <si>
    <t>Tech. Transfer/Herbs &amp; Spices -production of fish &amp; prawn pickles</t>
  </si>
  <si>
    <t>Tech. Transfer/Ann Mary Abraham-fabrication of electrical fish dryer</t>
  </si>
  <si>
    <t>Tech. Transfer/Seby cherian-production of fish pickles &amp; packaging</t>
  </si>
  <si>
    <t>Tech. Transfer/Basil Thankachen</t>
  </si>
  <si>
    <t>Tech.Trf/M A Remesan</t>
  </si>
  <si>
    <t>Tech. Trf/Sandesh K Salian</t>
  </si>
  <si>
    <t>Tech. Trf/M ASSU/19-20</t>
  </si>
  <si>
    <t>Tech. Trf/Bharat V Kamaliya</t>
  </si>
  <si>
    <t>Tech.Trf/Ramees C.P.M</t>
  </si>
  <si>
    <t>Tech. Trf/Advik Dhanyati Enterprises</t>
  </si>
  <si>
    <t>Tech. Trf/Sulchem Industries</t>
  </si>
  <si>
    <t>Tech. Transfer/Chellanam Sea Fish</t>
  </si>
  <si>
    <t>Tech. Transfer-Manasa Fish Con</t>
  </si>
  <si>
    <t>Tech. Trf/Nallakarshakan Agro Pvt. Ltd.</t>
  </si>
  <si>
    <t>Tech. Trf/ God'N Foods</t>
  </si>
  <si>
    <t>Tech. Traf/M/s ANDR</t>
  </si>
  <si>
    <t>Tech.transfer/Suneer V.A</t>
  </si>
  <si>
    <t>Tech.Transfer/M/s Fauna Foods, EKM</t>
  </si>
  <si>
    <t>Tech.transfer/Arecia life sciences</t>
  </si>
  <si>
    <t>Tech.Trf/Bodina Naturals Pvt Ltd</t>
  </si>
  <si>
    <t>Tech.trfr/D's family Mart</t>
  </si>
  <si>
    <t>Tech.Trfr/Mr.Harshavardhan Samdan</t>
  </si>
  <si>
    <t>Tech. Trf/Partik Kantilal Kothari</t>
  </si>
  <si>
    <t>Tech.trfr/Source Factory/Solar electric dryer(100Kg)</t>
  </si>
  <si>
    <t>Tech.Trf/Nishiindo Foods Pvt Ltd, Gujarat</t>
  </si>
  <si>
    <t>Tech. Transfer/One India Farms &amp; Plantations Pvt Ltd.</t>
  </si>
  <si>
    <t>Tech.Traf./Fazil Backer for production of fish/shrimp feed</t>
  </si>
  <si>
    <t>Tech. traf/Jishnu Sasidharan for the Marination of fish</t>
  </si>
  <si>
    <t>Tech. Trf./Sixth Taste Food Products</t>
  </si>
  <si>
    <t>Tech. Trf./Quest Bio Organics Pvt Ltd for Quest Bio Organics Pvt. Ltd./Growth enhancer &amp; spray dried feed supplements from shell waste</t>
  </si>
  <si>
    <t>Tech.Transfer &amp; Training on Value added products / Asst. Diretor(Fy.), Chamoli</t>
  </si>
  <si>
    <t>Tech. Traf/Ideal Trading Co. towards fresh fish handling, cleaning and packaging</t>
  </si>
  <si>
    <t>Tech.Traf./Kerala Store, Bhopal/hygienic fresh fish handling, cleaning packaging, dry fish, fish pickle, masala coated &amp; chutney powder</t>
  </si>
  <si>
    <t>Tech. Traf/Prime Harvest for Hygienic frsh fish handling, cleaning &amp; packaging</t>
  </si>
  <si>
    <t>Tech.Trf/Keind Marine Products LLP for Tuna Salad</t>
  </si>
  <si>
    <t>Tech.Trf./Chiranjeevi Processors, Coimbatore/Medium ViscosityChitosan</t>
  </si>
  <si>
    <t>Tech.Trf./Linga Chemicals, T.N.,/foilar Spray utilizing fish waste &amp; chitosan</t>
  </si>
  <si>
    <t>Tech.Taf./Izzie Food Industry.Hygienic fresh fish handling</t>
  </si>
  <si>
    <t>Tech. Trf/Meck Pharmaceuticals &amp; ChemicalsPvt Ltd., Ahmedabad /Medium Viscosity Chitosan</t>
  </si>
  <si>
    <t>Tech. Traf/Saileshbhai Suyani, Veraval</t>
  </si>
  <si>
    <t>Tech.Trf/Pentapalli Rambaby, Vizag for manufacture of insulated fish bags</t>
  </si>
  <si>
    <t>Tech. Trf/Gujarat Forgings Pvt Ltd. For validation of Type Approval Diesel Engine for Fishing Vessel Application</t>
  </si>
  <si>
    <t>Tech. Trf./Anand Traders, EKM for Dry fish, Fish pickle, Fish Chutney powder</t>
  </si>
  <si>
    <t>Tech. Trf./M/s. Sisunova Internation LLP for transfer of Chitin &amp; Chiyosan technology</t>
  </si>
  <si>
    <t xml:space="preserve">Tech.Trf/A.S.Food Products, EKM for the technology transfer of Solar Electric dryer and dry fish processing. </t>
  </si>
  <si>
    <t>Tech.Trf/Matsyafed, TVM for Fish Feed</t>
  </si>
  <si>
    <t>Tech. Trf/Kerala State Coastal Area Development corporation Ltd (KSXADC) for standardization of fish curries</t>
  </si>
  <si>
    <t>Tech. Transfer-Dept. of Fisheries, H.P. for RTE Fish Canning Unit</t>
  </si>
  <si>
    <t>Tech Traf/Zarin, Kashmir for prcessing packaging &amp; marketing of rainbow trout</t>
  </si>
  <si>
    <t>Tech Trf/Envoyme Technologies Pvt Ltd for developing products for aquaculture</t>
  </si>
  <si>
    <t>Tech Trf/Q Matrix Exim Pvt Ltd, A.P. for RTE fish curries &amp; pickles</t>
  </si>
  <si>
    <t>Tech. Trf/Grynd Fresh Pvt Ltd for RTE roasted coconut pastes for squid, crab, prawn, sambar, chicken &amp; meat</t>
  </si>
  <si>
    <t>Consultancy/AABBAA Fish Products-for setting up of Solar fish dryer/18-19</t>
  </si>
  <si>
    <t>Consultancy/Janatha Fish Meal &amp; Oil products/18-19</t>
  </si>
  <si>
    <t>Consultancy/Sagar Boat Construction, Gujarat for Preparation of standard Designs, cost estimate and spec.</t>
  </si>
  <si>
    <t>Consultancy/Cochin Port Trust/Construction of ETP at Cochin Fisheries Harbour</t>
  </si>
  <si>
    <t>Consultancy/Al-Badr Seafoods Pvt. Ltd., Lakshadweep</t>
  </si>
  <si>
    <t>Consultancy/Kerala Watersports sailing Orgn</t>
  </si>
  <si>
    <t>Consultancy/Dept. of fisheries, Lakshadweep to design a pole &amp; Liner cum Long Liner</t>
  </si>
  <si>
    <t>Consultancy /SM Engineering Works</t>
  </si>
  <si>
    <t>Consultancy/Milma EKM (ERCMPU)/19-20</t>
  </si>
  <si>
    <t>Consl/Kaipamangalam Fishermen Development &amp; Co-OP. Scociety</t>
  </si>
  <si>
    <t>Consl./Ramji Sankara Krishnan</t>
  </si>
  <si>
    <t>Consl/Castlerock Fisheries Pvt. Ltd</t>
  </si>
  <si>
    <t>Consl/Avisa Biotech Pvt. Ltd.</t>
  </si>
  <si>
    <t>Consultancy/ Antony P.J./Aswatha Agencies</t>
  </si>
  <si>
    <t>Consultancy/Sicagen India Ltd</t>
  </si>
  <si>
    <t>consultancy/ICAR-NRC on Pig</t>
  </si>
  <si>
    <t>Conslt/M/s United Kireeti Marine Ltd, Andhra</t>
  </si>
  <si>
    <t>Consultancy-M/s Lockheed Engineering works, Tamil Nadu</t>
  </si>
  <si>
    <t>Consultancy-Dept.of Fisheries, Nandurbar, Maharashtra</t>
  </si>
  <si>
    <t>Consultancy/Samudra shipyard/design &amp; evaluation of stability booklets</t>
  </si>
  <si>
    <t>Consltancy/Real Exports, Veraval</t>
  </si>
  <si>
    <t>Consl./Novalt Solar &amp; Electric Boats Pvt. Ltd., Kochi for Evaluating the Design of 10m Solar Boats.</t>
  </si>
  <si>
    <t>Consltuancy/Matsyafed, TVM for setting up of a fish processing unit in Alappuzha</t>
  </si>
  <si>
    <t>Consl./Vanitha cold Storage - for upgradation of microbilogical laboratory</t>
  </si>
  <si>
    <t>Consl./ADAK &amp; Dept. of Fisheries, Kerala/ for setting up of Aquatic Animal Health Centre (AAHC) at Thevara</t>
  </si>
  <si>
    <t>Consl./Sadhav Offshore Engineering Co., Odisha for the basic design of 20.0m Long liner cum Gillnetter and approval of Trim &amp; stability booklets.</t>
  </si>
  <si>
    <t>Consl./Uma Ship Builder &amp; Repairs Pvt Ltd., T.N. for the design and evaluation of stability booklets on 18.11.2020</t>
  </si>
  <si>
    <t>Consl./Kalasona Ingredients, Gujarat for production of Squid paste</t>
  </si>
  <si>
    <t>Consultancy/Novalt Solar &amp; Electric Boats Pvt Ltd, EKM for the approval of vessel design</t>
  </si>
  <si>
    <t>Consl./Amar Aquatic , Porbandar for microbiological analysis of fish &amp; fish products and paraben free seaweed extract</t>
  </si>
  <si>
    <t>Contract Research /Coal India Ltd for establishing COFISKI</t>
  </si>
  <si>
    <t>Contract Research/MPEDA/19-20</t>
  </si>
  <si>
    <t>Con. Res/Society for Assistance to fisherwomen(SAF)</t>
  </si>
  <si>
    <t>Con. Res/Ishka Renewabale Farms Pvt. Ltd.</t>
  </si>
  <si>
    <t>Con. Res./MSSRF/Trails using BRD's in trwals targeting Flower shrimp along Palk Bay</t>
  </si>
  <si>
    <t>Con.Res./WWF-India /Reducing by catch of Elasmobranchs in trawl fisheries of Gujarat</t>
  </si>
  <si>
    <t>Con.Res/WWF-India/Enhancing awareness among stakeholders in A.P. &amp; Odisha for use of CIFT-TED for sea Turtle conservation</t>
  </si>
  <si>
    <t>Con.Res./World Wide Fund for Nature - India (WWF-India) for using radio frequency identification technology to mark gear in Lakshadweep's drift gillnet fishery</t>
  </si>
  <si>
    <t>Contract Service- J Arc Communications &amp; power Solution for certification of Marine Engines</t>
  </si>
  <si>
    <t>Contract Research/Tile Marine-Studies on efficacy of acoustic pingers</t>
  </si>
  <si>
    <t>Contract Service - NABL Accreditation of 3 labs of ISSR, Calicut</t>
  </si>
  <si>
    <t>Contract Service/Kerala Agrl. University/Dept. of Agrl. Eng.</t>
  </si>
  <si>
    <t>Contract Service/Dept. of Fisheries, A.P. for Preparation of DPR on Exploitation of Deep Sea resources of Bay Bengal</t>
  </si>
  <si>
    <t>Contract Service/Town Harbour for providingembedded technology of CIFT Descaling Machine</t>
  </si>
  <si>
    <t>Contract Service/Gujarat Forgings Pvt. Ltd. For certification of 5 members of Field Marshal Model Engines</t>
  </si>
  <si>
    <t>Contract Service Fee/ Douglas Shandi Lamin</t>
  </si>
  <si>
    <t>Contract Ser./Rocket Eng. Corpn. Pvt. Ltd. For testing 4 marine engines</t>
  </si>
  <si>
    <t>Contract Service Fee/Eastern Condiments Pvt Ltd</t>
  </si>
  <si>
    <t>Contract Service/Kerala Livestock Development Board (KLDB)</t>
  </si>
  <si>
    <t>Contract Service/M/s Swaminatha research foundation for doubling farmer's income</t>
  </si>
  <si>
    <t>Contract Service/Crest Aquatech - product efficacy study of safe oxy-aqueous chlorinedioxide</t>
  </si>
  <si>
    <t>Contract Service/Himedia Lab. Pvt. Ltd/validation of kits</t>
  </si>
  <si>
    <t>Contract Service/Jeelani Marine Products to establish Good Manufacturing Practices (GM) &amp; Good Laboratory Practices(GLP)</t>
  </si>
  <si>
    <t>Contract  Service/Arecia Life Sciences pvt. Ltd</t>
  </si>
  <si>
    <t>Con. Service/Matsyafed/19-20</t>
  </si>
  <si>
    <t>Contract Service-M/s DANISCO India Pvt Ltd</t>
  </si>
  <si>
    <t>Con.Ser/Naturalle Herbal Remedies Pvt. Ltd</t>
  </si>
  <si>
    <t>Con.Service/M/s. Amar Polyfills Pvt Ltd., Gujarat for the extraction of collagen peptide from fish skin &amp; bones</t>
  </si>
  <si>
    <t>Con.Ser./KOHLER Power India Pvt. Ltd.</t>
  </si>
  <si>
    <t>Contract Ser./ Germkill India Labs LLP for testing of CITROBIOSHIELD</t>
  </si>
  <si>
    <t>Con. Ser/Sardhara Engine Manufacturers for Tupe Approval of Diesel Engine for Fishing Vessel</t>
  </si>
  <si>
    <t>Con.Ser/Kirloskar Oil Engines Ltd., Gujarat for validation of diesel engine models</t>
  </si>
  <si>
    <t>Con. Ser./Shandong Heavy Industry India Pvt Ltd., Pune for validity entension of engine certificates issued for the engines</t>
  </si>
  <si>
    <t>Con.Ser./M/s. SMS  Labs Services Pvt Ltd. Chennai for PCRtraining and validation of PCR methods.</t>
  </si>
  <si>
    <t>NSPAAD-PMMSY</t>
  </si>
  <si>
    <t>BISA-WFP</t>
  </si>
  <si>
    <t>Marine Mammals Stock Assessment in India(MMSAI)</t>
  </si>
  <si>
    <t>INCOIS-SAR</t>
  </si>
  <si>
    <t>INCOIS-Jelly fish</t>
  </si>
  <si>
    <t>"DOFK outboard diesel Project-PI-M.V.Baiju</t>
  </si>
  <si>
    <t xml:space="preserve"> "BRNS-MRSA phages PI-Murugadas </t>
  </si>
  <si>
    <t>APART project, Govt. of Assam</t>
  </si>
  <si>
    <t>Royal Academy of Engineering (EFP(I)-FGE/2022-23)</t>
  </si>
  <si>
    <t>Inplant Training-KCAET, Thavanur from 01.08.22 to 29.08.22</t>
  </si>
  <si>
    <t>Training in pre processing &amp; drying of fish from 3-4 th Aug.22</t>
  </si>
  <si>
    <t>Assam Agricultural University-AAU-Inplant training programme</t>
  </si>
  <si>
    <t>Trng on pre processing and drying of fish -7th to 8th Mar.2023</t>
  </si>
  <si>
    <t>SAARC Fellowship, ANAS KK</t>
  </si>
  <si>
    <t>Kerala State Council for Science, Technology and Development (KSCSTE)-II, III yr fellowship of Jean Mary Joy, Research Scholar B&amp;N</t>
  </si>
  <si>
    <t>NSDL-NPS r/o Dr. Suresh</t>
  </si>
  <si>
    <t xml:space="preserve">NFDB-"The Pilot scale demonstration of seaweed based feed production for fish and Shrimp" </t>
  </si>
  <si>
    <t>African Asian Rural Developmental Organisation:Recent Technological developments in Fisheries-Pre &amp; post harvest operations</t>
  </si>
  <si>
    <t>NFDB-The Pilot scale implementaion of "Smart Packing Technology:fish freshness indicator"</t>
  </si>
  <si>
    <t>Con.Ser/ADAK for the supply of TiLV RTPCR Test Kitfor Aquatic animal Health Laboratory</t>
  </si>
  <si>
    <t>Con.Ser/ADAK for the supply of PCR Test Kit for detection of KHP, SVC, EUS</t>
  </si>
  <si>
    <t>Con.Ser/Ave Health Care Pvt Ltd, for efficacy study of EAT SAFE</t>
  </si>
  <si>
    <t>Con.Ser/Mizala Biovet India (OPC) Pvt Ltd, Indore for validation of anitibiotic kits for fish &amp; shrimp</t>
  </si>
  <si>
    <t>Consl./Navalt solar &amp; Electric Boats Pvt Ltd -evaluating the Design of 3m fishing vessel</t>
  </si>
  <si>
    <t>Con. Res. Phytozymes biotech</t>
  </si>
  <si>
    <t>Consultancy Fee/ United Direeti Marine</t>
  </si>
  <si>
    <t>Consultancy/Joecons Fisheries, GOA</t>
  </si>
  <si>
    <t>Consultancy/ M/s Quest Bio Organics, Kolkatta for the production of chitin, chitosan and foliar spray</t>
  </si>
  <si>
    <t>Consultancy/Zeva Ecosystems Pvt.Ltd., Thalikkulam, Thrissur for production of feed from black soldier Fly</t>
  </si>
  <si>
    <t>Consultancy-M/s. Mag Feeds Pvt.Ltd</t>
  </si>
  <si>
    <t>Consultancy-M/s Tropic Bio Systems</t>
  </si>
  <si>
    <t>Consultancy-M/s AVT Natural Products</t>
  </si>
  <si>
    <t>Consultancy-M/s. PKM Fine Foods</t>
  </si>
  <si>
    <t>Consultancy-M/s. Samudra Sea Foods</t>
  </si>
  <si>
    <t>Contract Service/M/s Albys Agro Pvt.Ltd</t>
  </si>
  <si>
    <t>Cont.Research/4th instalment received from SAF "Demonstration of Modern and hygienic Refrigeration enabled fish vending Kiosk</t>
  </si>
  <si>
    <t>Tech.Trf/Longshore Technologies LLP, Maharashtra for tech. traf. Of Chitin, Chitosan &amp; Chitooligomers</t>
  </si>
  <si>
    <t>Tech.Trf/Sunsharp Biotech Pvt Ltd, Telangana for production of collagen peptide from fish skin, scale &amp; bones</t>
  </si>
  <si>
    <t>Tech.Trf/KMR venture</t>
  </si>
  <si>
    <t>Tech. Transfer-M/s. Master Traders / JUSTIN LOPEZ</t>
  </si>
  <si>
    <t>Tech. Transfer/Foo foods India Pvt. Ltd.</t>
  </si>
  <si>
    <t>Tech. Transfer/M/s. Zeaquel Marine Exports Pvt.Ltd</t>
  </si>
  <si>
    <t>Tech. Transfer/M/s. Thanal Purusha Swayam Sahayasangam</t>
  </si>
  <si>
    <t>Technology/M/s. Suncrest Biopolymers, Andhra Pradesh</t>
  </si>
  <si>
    <t>Tech.Tansf/B.V. Sunilraja for setting up of a E-Retail seafood store and hands on training on hygienic handling,improved market forms of fresh fish and value addition of fish</t>
  </si>
  <si>
    <t>Tech.tran/M/s Rao Food &amp; Groceries for technical know-how and training of 'Hygienic handling and dressing of fish in different market forms and value-added products</t>
  </si>
  <si>
    <t xml:space="preserve">Tech. Transfer-M/s. Suhail PV </t>
  </si>
  <si>
    <t>Tech. Transfer/Matsyafed</t>
  </si>
  <si>
    <t>Tech. Transfer-M/s. Machchhimar Sahakari Mandali Ltd</t>
  </si>
  <si>
    <t>M/s. Agriinnovate India Ltd. Inst.Share-Kingsinfra</t>
  </si>
  <si>
    <t>Training in pre processing &amp; drying (13-14 July 2022)</t>
  </si>
  <si>
    <t>Collaborative Trg/National Institute of Agrl. Extn. Management (MANAGE Trg)</t>
  </si>
  <si>
    <t>ATARI Banglore/ Drone Demo.</t>
  </si>
  <si>
    <t>MFB Hands on Training/22-23</t>
  </si>
  <si>
    <t>ITEC Training Pgm on "Recent Advances in Harvest and Post-harvest technologies in fisheries"</t>
  </si>
  <si>
    <t>ITEC Training Pgm on "Quality Assurance of Fish and Fishery Products</t>
  </si>
  <si>
    <t>FSSAI_Strengthening of Referral La boratory</t>
  </si>
  <si>
    <t>NAME OF SCHEME/PROJECT</t>
  </si>
  <si>
    <t>OPENING BALANCE AS ON 01-04-2022</t>
  </si>
  <si>
    <t>RECEIPTS DURING 2022-23</t>
  </si>
  <si>
    <t>TOTAL(5+6)</t>
  </si>
  <si>
    <t>RECURRING EXPENDITURE</t>
  </si>
  <si>
    <t>NON-RECURRING EXPENDITURE DURING 2022-23</t>
  </si>
  <si>
    <t>REFUNDS DURING THE YEAR</t>
  </si>
  <si>
    <t>BALANCE AS ON 31.03.2023</t>
  </si>
  <si>
    <t>FAO-AFL</t>
  </si>
  <si>
    <t>DBT-DOSA</t>
  </si>
  <si>
    <t>DBT-AMR</t>
  </si>
  <si>
    <t>IIFPT, Thanjavur</t>
  </si>
  <si>
    <t>R.Deposit/Food Processing &amp; Engg./2017-18</t>
  </si>
  <si>
    <t>FSSAI-Advanced Microbiological Techniques/2019-20</t>
  </si>
  <si>
    <t>FICCI-AIRTF/19-20</t>
  </si>
  <si>
    <t>R.Depo/Misc. Bank Debit</t>
  </si>
  <si>
    <t xml:space="preserve">Consultancy-NET-FISH/MPEDA </t>
  </si>
  <si>
    <t>Campaign for clean coast safe sea/Swacch Sagar Surakshit Sagar</t>
  </si>
  <si>
    <t>ITEC-HACCP</t>
  </si>
  <si>
    <t>Schedule 5 –Fixed Assets(A+B+C+D+E)</t>
  </si>
  <si>
    <t xml:space="preserve">                                    Gross Block</t>
  </si>
  <si>
    <t>Net Block</t>
  </si>
  <si>
    <t>Description</t>
  </si>
  <si>
    <t xml:space="preserve">Cost/ Value at the Beginning of year </t>
  </si>
  <si>
    <t xml:space="preserve">Addition during the year </t>
  </si>
  <si>
    <t xml:space="preserve">Deductions during the year </t>
  </si>
  <si>
    <t xml:space="preserve">Cost/ Value at year end </t>
  </si>
  <si>
    <t xml:space="preserve"> At the beginning of the year </t>
  </si>
  <si>
    <t xml:space="preserve">For the year </t>
  </si>
  <si>
    <t xml:space="preserve">Accumulated depreciation </t>
  </si>
  <si>
    <t>Total upto year end        (5+6-7)</t>
  </si>
  <si>
    <t>As at the current year end (4-8)</t>
  </si>
  <si>
    <t>As at the previous year end</t>
  </si>
  <si>
    <t>A. Fixed Assets</t>
  </si>
  <si>
    <t>1. Land</t>
  </si>
  <si>
    <t xml:space="preserve">     a. Free hold</t>
  </si>
  <si>
    <t xml:space="preserve">     b. Lease hold</t>
  </si>
  <si>
    <t>2. Buildings</t>
  </si>
  <si>
    <t>3. Tanks &amp; Ponds</t>
  </si>
  <si>
    <t>4. Roads &amp; Bridges</t>
  </si>
  <si>
    <t>5. Sewerage &amp; Drainage</t>
  </si>
  <si>
    <t>6. Tube Wells</t>
  </si>
  <si>
    <t>7. Elect. installations and Equipments</t>
  </si>
  <si>
    <t>8. Plant &amp; Machinery</t>
  </si>
  <si>
    <t>9. Laboratory apparatus and Scientific eqp</t>
  </si>
  <si>
    <t>10. Office Equipment</t>
  </si>
  <si>
    <t>11. Vehicle &amp; Vessels</t>
  </si>
  <si>
    <t>12. Farm &amp; Field Equipment</t>
  </si>
  <si>
    <t>13.Computers/Peri-pherals/ major software</t>
  </si>
  <si>
    <t>14. Furniture &amp; Fixts.</t>
  </si>
  <si>
    <t>15. Audio visual equipments</t>
  </si>
  <si>
    <t>16. Live Stock</t>
  </si>
  <si>
    <t>17. Library Books</t>
  </si>
  <si>
    <t>Total of Current Year</t>
  </si>
  <si>
    <t>B. Capital work-in-progress</t>
  </si>
  <si>
    <t>18. Others</t>
  </si>
  <si>
    <t>Schedule 5( A) Govt. Grant</t>
  </si>
  <si>
    <t>Gross Block</t>
  </si>
  <si>
    <t xml:space="preserve">Cost/ Value at the Beginning of year* </t>
  </si>
  <si>
    <t>Total upto year end (5+6-7)</t>
  </si>
  <si>
    <t xml:space="preserve">Equipment </t>
  </si>
  <si>
    <t>Library</t>
  </si>
  <si>
    <t>Building</t>
  </si>
  <si>
    <t>Vehicle</t>
  </si>
  <si>
    <t>Computer etc.</t>
  </si>
  <si>
    <t>TOTAL</t>
  </si>
  <si>
    <t>Exp. as per R&amp; P account</t>
  </si>
  <si>
    <t>Add: outstanding advance 21-22</t>
  </si>
  <si>
    <t>Less: outstanding advance 22-23</t>
  </si>
  <si>
    <t>NET</t>
  </si>
  <si>
    <t>Schedule 5( B) NAHEP</t>
  </si>
  <si>
    <t>Schedule 5 –(C) AP Cess</t>
  </si>
  <si>
    <t>As at the current year end  (4-8)</t>
  </si>
  <si>
    <t>Schedule 5 –(D)                                           Revolving Fund Scheme</t>
  </si>
  <si>
    <t>Schedule 5 –(E) Deposit Schemes</t>
  </si>
  <si>
    <t>Cost/ Value at year end  (1+2-3)</t>
  </si>
  <si>
    <t>As at the current year end                      (4-8)</t>
  </si>
  <si>
    <t>Schedule 5 –(X) Fixed Assets</t>
  </si>
  <si>
    <t>Description of Small Value Assets</t>
  </si>
  <si>
    <t xml:space="preserve">At the beginning of the year </t>
  </si>
  <si>
    <r>
      <rPr>
        <b/>
        <sz val="10"/>
        <rFont val="Arial"/>
        <family val="2"/>
      </rPr>
      <t>A.</t>
    </r>
    <r>
      <rPr>
        <b/>
        <sz val="9"/>
        <rFont val="Arial"/>
        <family val="2"/>
      </rPr>
      <t xml:space="preserve"> Fixed Assets</t>
    </r>
  </si>
  <si>
    <t>Schedule 6 :  Investments from Earmarked/Endowment Funds</t>
  </si>
  <si>
    <t>1. In Government Securities</t>
  </si>
  <si>
    <t>2. Other approved Securities</t>
  </si>
  <si>
    <t>3. Debentures and Bonds</t>
  </si>
  <si>
    <t>4. Others (to be specified in Notes to A/c)</t>
  </si>
  <si>
    <t>Schedule 7 : Current Assets, Loans &amp; Advances</t>
  </si>
  <si>
    <t>A. Current Assets:</t>
  </si>
  <si>
    <t>1. Inventories</t>
  </si>
  <si>
    <t>a.    Stores &amp; Spares</t>
  </si>
  <si>
    <t>b.    Chemicals</t>
  </si>
  <si>
    <t>c.    Glassware</t>
  </si>
  <si>
    <t>d.    Other Consumables</t>
  </si>
  <si>
    <t>e.     Stationery</t>
  </si>
  <si>
    <t xml:space="preserve">f.       Stock-in-Hand                                                                                               (i)      Finished Goods __________________                                                                 (ii)     Semi-Finished Goods _____________                                                               (iii)     Raw Material   ___________________ . </t>
  </si>
  <si>
    <t>2. Sundry Debtors</t>
  </si>
  <si>
    <t>a.      Debts outstanding for a period exceeding 6 months</t>
  </si>
  <si>
    <t>b.     Others  (specify in Notes to Accounts)</t>
  </si>
  <si>
    <t>3. Cash and Bank Balances</t>
  </si>
  <si>
    <t>a.      Cash in hand (including stamps, imprest cash and cheques/drafts, balance of franking machine etc)</t>
  </si>
  <si>
    <t>b.     Bank Balances with scheduled banks</t>
  </si>
  <si>
    <t>-         in current accounts</t>
  </si>
  <si>
    <t xml:space="preserve">                                      (i) Institute Account</t>
  </si>
  <si>
    <t xml:space="preserve">                                      (ii) NAHEP</t>
  </si>
  <si>
    <t>-         in Deposit account (including margin money for letters of credit</t>
  </si>
  <si>
    <t>-         in saving accounts</t>
  </si>
  <si>
    <t>c       Cash in transit</t>
  </si>
  <si>
    <t>Break up of Bank Closing balance as on 31.03.2023</t>
  </si>
  <si>
    <t>Amount</t>
  </si>
  <si>
    <t>(i) Revenue</t>
  </si>
  <si>
    <t>(ii) Other than Revenue</t>
  </si>
  <si>
    <t>B. Loans And Advances</t>
  </si>
  <si>
    <r>
      <rPr>
        <b/>
        <sz val="11"/>
        <rFont val="Arial"/>
        <family val="2"/>
      </rPr>
      <t>a.</t>
    </r>
    <r>
      <rPr>
        <b/>
        <sz val="11"/>
        <rFont val="Times New Roman"/>
        <family val="1"/>
      </rPr>
      <t xml:space="preserve">       </t>
    </r>
    <r>
      <rPr>
        <b/>
        <sz val="11"/>
        <rFont val="Tahoma"/>
        <family val="2"/>
      </rPr>
      <t>Loans:</t>
    </r>
  </si>
  <si>
    <r>
      <rPr>
        <sz val="11"/>
        <rFont val="Arial"/>
        <family val="2"/>
      </rPr>
      <t>-</t>
    </r>
    <r>
      <rPr>
        <sz val="11"/>
        <rFont val="Times New Roman"/>
        <family val="1"/>
      </rPr>
      <t xml:space="preserve">          </t>
    </r>
    <r>
      <rPr>
        <sz val="11"/>
        <rFont val="Tahoma"/>
        <family val="2"/>
      </rPr>
      <t>Departmental Canteen</t>
    </r>
  </si>
  <si>
    <r>
      <rPr>
        <sz val="11"/>
        <rFont val="Arial"/>
        <family val="2"/>
      </rPr>
      <t>-</t>
    </r>
    <r>
      <rPr>
        <sz val="11"/>
        <rFont val="Times New Roman"/>
        <family val="1"/>
      </rPr>
      <t xml:space="preserve">          </t>
    </r>
    <r>
      <rPr>
        <sz val="11"/>
        <rFont val="Tahoma"/>
        <family val="2"/>
      </rPr>
      <t>Revolving Fund</t>
    </r>
  </si>
  <si>
    <r>
      <rPr>
        <b/>
        <sz val="11"/>
        <rFont val="Arial"/>
        <family val="2"/>
      </rPr>
      <t>b.</t>
    </r>
    <r>
      <rPr>
        <b/>
        <sz val="11"/>
        <rFont val="Times New Roman"/>
        <family val="1"/>
      </rPr>
      <t xml:space="preserve">       </t>
    </r>
    <r>
      <rPr>
        <b/>
        <sz val="11"/>
        <rFont val="Tahoma"/>
        <family val="2"/>
      </rPr>
      <t>Advances to employees (Non-Interest Bearing)</t>
    </r>
  </si>
  <si>
    <r>
      <rPr>
        <sz val="11"/>
        <rFont val="Arial"/>
        <family val="2"/>
      </rPr>
      <t>-</t>
    </r>
    <r>
      <rPr>
        <sz val="11"/>
        <rFont val="Times New Roman"/>
        <family val="1"/>
      </rPr>
      <t xml:space="preserve">          </t>
    </r>
    <r>
      <rPr>
        <sz val="11"/>
        <rFont val="Tahoma"/>
        <family val="2"/>
      </rPr>
      <t>Salary</t>
    </r>
  </si>
  <si>
    <r>
      <rPr>
        <sz val="11"/>
        <rFont val="Arial"/>
        <family val="2"/>
      </rPr>
      <t>-</t>
    </r>
    <r>
      <rPr>
        <sz val="11"/>
        <rFont val="Times New Roman"/>
        <family val="1"/>
      </rPr>
      <t xml:space="preserve">          </t>
    </r>
    <r>
      <rPr>
        <sz val="11"/>
        <rFont val="Tahoma"/>
        <family val="2"/>
      </rPr>
      <t>Festival</t>
    </r>
  </si>
  <si>
    <r>
      <rPr>
        <sz val="11"/>
        <rFont val="Arial"/>
        <family val="2"/>
      </rPr>
      <t>-</t>
    </r>
    <r>
      <rPr>
        <sz val="11"/>
        <rFont val="Times New Roman"/>
        <family val="1"/>
      </rPr>
      <t xml:space="preserve">          </t>
    </r>
    <r>
      <rPr>
        <sz val="11"/>
        <rFont val="Tahoma"/>
        <family val="2"/>
      </rPr>
      <t>Flood/Frought/Cyclone</t>
    </r>
  </si>
  <si>
    <r>
      <rPr>
        <sz val="11"/>
        <rFont val="Arial"/>
        <family val="2"/>
      </rPr>
      <t>-</t>
    </r>
    <r>
      <rPr>
        <sz val="11"/>
        <rFont val="Times New Roman"/>
        <family val="1"/>
      </rPr>
      <t xml:space="preserve">          </t>
    </r>
    <r>
      <rPr>
        <sz val="11"/>
        <rFont val="Tahoma"/>
        <family val="2"/>
      </rPr>
      <t>Calamity</t>
    </r>
  </si>
  <si>
    <r>
      <rPr>
        <sz val="11"/>
        <rFont val="Arial"/>
        <family val="2"/>
      </rPr>
      <t>-</t>
    </r>
    <r>
      <rPr>
        <sz val="11"/>
        <rFont val="Times New Roman"/>
        <family val="1"/>
      </rPr>
      <t xml:space="preserve">          </t>
    </r>
    <r>
      <rPr>
        <sz val="11"/>
        <rFont val="Tahoma"/>
        <family val="2"/>
      </rPr>
      <t>TA</t>
    </r>
  </si>
  <si>
    <r>
      <rPr>
        <sz val="11"/>
        <rFont val="Arial"/>
        <family val="2"/>
      </rPr>
      <t>-</t>
    </r>
    <r>
      <rPr>
        <sz val="11"/>
        <rFont val="Times New Roman"/>
        <family val="1"/>
      </rPr>
      <t xml:space="preserve">          </t>
    </r>
    <r>
      <rPr>
        <sz val="11"/>
        <rFont val="Tahoma"/>
        <family val="2"/>
      </rPr>
      <t>LTC</t>
    </r>
  </si>
  <si>
    <r>
      <rPr>
        <sz val="11"/>
        <rFont val="Arial"/>
        <family val="2"/>
      </rPr>
      <t>-</t>
    </r>
    <r>
      <rPr>
        <sz val="11"/>
        <rFont val="Times New Roman"/>
        <family val="1"/>
      </rPr>
      <t xml:space="preserve">          </t>
    </r>
    <r>
      <rPr>
        <sz val="11"/>
        <rFont val="Tahoma"/>
        <family val="2"/>
      </rPr>
      <t>Food grain advance</t>
    </r>
  </si>
  <si>
    <r>
      <rPr>
        <sz val="11"/>
        <rFont val="Arial"/>
        <family val="2"/>
      </rPr>
      <t>-</t>
    </r>
    <r>
      <rPr>
        <sz val="11"/>
        <rFont val="Times New Roman"/>
        <family val="1"/>
      </rPr>
      <t xml:space="preserve">          </t>
    </r>
    <r>
      <rPr>
        <sz val="11"/>
        <rFont val="Tahoma"/>
        <family val="2"/>
      </rPr>
      <t>Winter warm clothing advance</t>
    </r>
  </si>
  <si>
    <r>
      <rPr>
        <sz val="11"/>
        <rFont val="Arial"/>
        <family val="2"/>
      </rPr>
      <t xml:space="preserve"> -</t>
    </r>
    <r>
      <rPr>
        <sz val="11"/>
        <rFont val="Times New Roman"/>
        <family val="1"/>
      </rPr>
      <t xml:space="preserve">          </t>
    </r>
    <r>
      <rPr>
        <sz val="11"/>
        <rFont val="Tahoma"/>
        <family val="2"/>
      </rPr>
      <t xml:space="preserve">Others </t>
    </r>
  </si>
  <si>
    <r>
      <rPr>
        <b/>
        <sz val="11"/>
        <rFont val="Arial"/>
        <family val="2"/>
      </rPr>
      <t>c.</t>
    </r>
    <r>
      <rPr>
        <b/>
        <sz val="11"/>
        <rFont val="Times New Roman"/>
        <family val="1"/>
      </rPr>
      <t xml:space="preserve">       </t>
    </r>
    <r>
      <rPr>
        <b/>
        <sz val="11"/>
        <rFont val="Tahoma"/>
        <family val="2"/>
      </rPr>
      <t>Long Term Advances to Employees (Interest Bearing)</t>
    </r>
  </si>
  <si>
    <r>
      <rPr>
        <sz val="11"/>
        <rFont val="Arial"/>
        <family val="2"/>
      </rPr>
      <t>-</t>
    </r>
    <r>
      <rPr>
        <sz val="11"/>
        <rFont val="Times New Roman"/>
        <family val="1"/>
      </rPr>
      <t xml:space="preserve">          </t>
    </r>
    <r>
      <rPr>
        <sz val="11"/>
        <rFont val="Tahoma"/>
        <family val="2"/>
      </rPr>
      <t>House Building</t>
    </r>
  </si>
  <si>
    <r>
      <rPr>
        <sz val="11"/>
        <rFont val="Arial"/>
        <family val="2"/>
      </rPr>
      <t>-</t>
    </r>
    <r>
      <rPr>
        <sz val="11"/>
        <rFont val="Times New Roman"/>
        <family val="1"/>
      </rPr>
      <t xml:space="preserve">          </t>
    </r>
    <r>
      <rPr>
        <sz val="11"/>
        <rFont val="Tahoma"/>
        <family val="2"/>
      </rPr>
      <t>Motor Vehicle</t>
    </r>
  </si>
  <si>
    <r>
      <rPr>
        <sz val="11"/>
        <rFont val="Arial"/>
        <family val="2"/>
      </rPr>
      <t>-</t>
    </r>
    <r>
      <rPr>
        <sz val="11"/>
        <rFont val="Times New Roman"/>
        <family val="1"/>
      </rPr>
      <t xml:space="preserve">          </t>
    </r>
    <r>
      <rPr>
        <sz val="11"/>
        <rFont val="Tahoma"/>
        <family val="2"/>
      </rPr>
      <t>Fans</t>
    </r>
  </si>
  <si>
    <r>
      <rPr>
        <sz val="11"/>
        <rFont val="Arial"/>
        <family val="2"/>
      </rPr>
      <t>-</t>
    </r>
    <r>
      <rPr>
        <sz val="11"/>
        <rFont val="Times New Roman"/>
        <family val="1"/>
      </rPr>
      <t xml:space="preserve">          </t>
    </r>
    <r>
      <rPr>
        <sz val="11"/>
        <rFont val="Tahoma"/>
        <family val="2"/>
      </rPr>
      <t>Computer</t>
    </r>
  </si>
  <si>
    <r>
      <rPr>
        <b/>
        <sz val="11"/>
        <rFont val="Arial"/>
        <family val="2"/>
      </rPr>
      <t>d.</t>
    </r>
    <r>
      <rPr>
        <b/>
        <sz val="11"/>
        <rFont val="Times New Roman"/>
        <family val="1"/>
      </rPr>
      <t xml:space="preserve">       </t>
    </r>
    <r>
      <rPr>
        <b/>
        <sz val="11"/>
        <rFont val="Tahoma"/>
        <family val="2"/>
      </rPr>
      <t>Advances And Other Amounts Recoverable in Cash or in Kind or for Value to be received</t>
    </r>
  </si>
  <si>
    <r>
      <rPr>
        <sz val="11"/>
        <rFont val="Arial"/>
        <family val="2"/>
      </rPr>
      <t>-</t>
    </r>
    <r>
      <rPr>
        <sz val="11"/>
        <rFont val="Times New Roman"/>
        <family val="1"/>
      </rPr>
      <t xml:space="preserve">          </t>
    </r>
    <r>
      <rPr>
        <sz val="11"/>
        <rFont val="Tahoma"/>
        <family val="2"/>
      </rPr>
      <t>Advances on Capital A/c</t>
    </r>
  </si>
  <si>
    <t>-        Advances on Work (Capital)</t>
  </si>
  <si>
    <t>-        Advances on Work (Revenue)</t>
  </si>
  <si>
    <r>
      <rPr>
        <sz val="11"/>
        <rFont val="Arial"/>
        <family val="2"/>
      </rPr>
      <t>-</t>
    </r>
    <r>
      <rPr>
        <sz val="11"/>
        <rFont val="Times New Roman"/>
        <family val="1"/>
      </rPr>
      <t xml:space="preserve">          </t>
    </r>
    <r>
      <rPr>
        <sz val="11"/>
        <rFont val="Tahoma"/>
        <family val="2"/>
      </rPr>
      <t>Others (specify in Notes to Accounts)</t>
    </r>
  </si>
  <si>
    <r>
      <rPr>
        <b/>
        <sz val="11"/>
        <rFont val="Arial"/>
        <family val="2"/>
      </rPr>
      <t>e.</t>
    </r>
    <r>
      <rPr>
        <b/>
        <sz val="11"/>
        <rFont val="Times New Roman"/>
        <family val="1"/>
      </rPr>
      <t xml:space="preserve">       </t>
    </r>
    <r>
      <rPr>
        <b/>
        <sz val="11"/>
        <rFont val="Tahoma"/>
        <family val="2"/>
      </rPr>
      <t>Prepaid Expenses</t>
    </r>
  </si>
  <si>
    <r>
      <rPr>
        <sz val="11"/>
        <rFont val="Arial"/>
        <family val="2"/>
      </rPr>
      <t>-</t>
    </r>
    <r>
      <rPr>
        <sz val="11"/>
        <rFont val="Times New Roman"/>
        <family val="1"/>
      </rPr>
      <t xml:space="preserve">          </t>
    </r>
    <r>
      <rPr>
        <sz val="11"/>
        <rFont val="Tahoma"/>
        <family val="2"/>
      </rPr>
      <t>Insurance</t>
    </r>
  </si>
  <si>
    <t>-          AMC Expenses</t>
  </si>
  <si>
    <r>
      <rPr>
        <sz val="11"/>
        <rFont val="Arial"/>
        <family val="2"/>
      </rPr>
      <t>-</t>
    </r>
    <r>
      <rPr>
        <sz val="11"/>
        <rFont val="Times New Roman"/>
        <family val="1"/>
      </rPr>
      <t xml:space="preserve">          </t>
    </r>
    <r>
      <rPr>
        <sz val="11"/>
        <rFont val="Tahoma"/>
        <family val="2"/>
      </rPr>
      <t>Other Expenses</t>
    </r>
  </si>
  <si>
    <r>
      <rPr>
        <b/>
        <sz val="11"/>
        <rFont val="Arial"/>
        <family val="2"/>
      </rPr>
      <t>f.</t>
    </r>
    <r>
      <rPr>
        <b/>
        <sz val="11"/>
        <rFont val="Times New Roman"/>
        <family val="1"/>
      </rPr>
      <t xml:space="preserve">        </t>
    </r>
    <r>
      <rPr>
        <b/>
        <sz val="11"/>
        <rFont val="Tahoma"/>
        <family val="2"/>
      </rPr>
      <t>Deposits</t>
    </r>
  </si>
  <si>
    <r>
      <rPr>
        <sz val="11"/>
        <rFont val="Arial"/>
        <family val="2"/>
      </rPr>
      <t>-</t>
    </r>
    <r>
      <rPr>
        <sz val="11"/>
        <rFont val="Times New Roman"/>
        <family val="1"/>
      </rPr>
      <t xml:space="preserve">          </t>
    </r>
    <r>
      <rPr>
        <sz val="11"/>
        <rFont val="Tahoma"/>
        <family val="2"/>
      </rPr>
      <t>Telephone</t>
    </r>
  </si>
  <si>
    <r>
      <rPr>
        <sz val="11"/>
        <rFont val="Arial"/>
        <family val="2"/>
      </rPr>
      <t>-</t>
    </r>
    <r>
      <rPr>
        <sz val="11"/>
        <rFont val="Times New Roman"/>
        <family val="1"/>
      </rPr>
      <t xml:space="preserve">          </t>
    </r>
    <r>
      <rPr>
        <sz val="11"/>
        <rFont val="Tahoma"/>
        <family val="2"/>
      </rPr>
      <t>Lease Rent</t>
    </r>
  </si>
  <si>
    <r>
      <rPr>
        <sz val="11"/>
        <rFont val="Arial"/>
        <family val="2"/>
      </rPr>
      <t>-</t>
    </r>
    <r>
      <rPr>
        <sz val="11"/>
        <rFont val="Times New Roman"/>
        <family val="1"/>
      </rPr>
      <t xml:space="preserve">          </t>
    </r>
    <r>
      <rPr>
        <sz val="11"/>
        <rFont val="Tahoma"/>
        <family val="2"/>
      </rPr>
      <t>Customs Dept.</t>
    </r>
  </si>
  <si>
    <r>
      <rPr>
        <sz val="11"/>
        <rFont val="Arial"/>
        <family val="2"/>
      </rPr>
      <t>-</t>
    </r>
    <r>
      <rPr>
        <sz val="11"/>
        <rFont val="Times New Roman"/>
        <family val="1"/>
      </rPr>
      <t xml:space="preserve">          </t>
    </r>
    <r>
      <rPr>
        <sz val="11"/>
        <rFont val="Tahoma"/>
        <family val="2"/>
      </rPr>
      <t>Security</t>
    </r>
  </si>
  <si>
    <t>-        Earnest money</t>
  </si>
  <si>
    <r>
      <rPr>
        <sz val="11"/>
        <rFont val="Arial"/>
        <family val="2"/>
      </rPr>
      <t>-</t>
    </r>
    <r>
      <rPr>
        <sz val="11"/>
        <rFont val="Times New Roman"/>
        <family val="1"/>
      </rPr>
      <t xml:space="preserve">          </t>
    </r>
    <r>
      <rPr>
        <sz val="11"/>
        <rFont val="Tahoma"/>
        <family val="2"/>
      </rPr>
      <t>Others</t>
    </r>
  </si>
  <si>
    <r>
      <rPr>
        <b/>
        <sz val="11"/>
        <rFont val="Arial"/>
        <family val="2"/>
      </rPr>
      <t>g.</t>
    </r>
    <r>
      <rPr>
        <b/>
        <sz val="11"/>
        <rFont val="Times New Roman"/>
        <family val="1"/>
      </rPr>
      <t xml:space="preserve">       </t>
    </r>
    <r>
      <rPr>
        <b/>
        <sz val="11"/>
        <rFont val="Tahoma"/>
        <family val="2"/>
      </rPr>
      <t>Income Accrued</t>
    </r>
  </si>
  <si>
    <r>
      <rPr>
        <sz val="11"/>
        <rFont val="Arial"/>
        <family val="2"/>
      </rPr>
      <t>-</t>
    </r>
    <r>
      <rPr>
        <sz val="11"/>
        <rFont val="Times New Roman"/>
        <family val="1"/>
      </rPr>
      <t xml:space="preserve">          </t>
    </r>
    <r>
      <rPr>
        <sz val="11"/>
        <rFont val="Tahoma"/>
        <family val="2"/>
      </rPr>
      <t>On Investments from Earmarked/Endowment Funds</t>
    </r>
  </si>
  <si>
    <r>
      <rPr>
        <sz val="11"/>
        <rFont val="Arial"/>
        <family val="2"/>
      </rPr>
      <t>-</t>
    </r>
    <r>
      <rPr>
        <sz val="11"/>
        <rFont val="Times New Roman"/>
        <family val="1"/>
      </rPr>
      <t xml:space="preserve">          </t>
    </r>
    <r>
      <rPr>
        <sz val="11"/>
        <rFont val="Tahoma"/>
        <family val="2"/>
      </rPr>
      <t>On Investments</t>
    </r>
  </si>
  <si>
    <r>
      <rPr>
        <sz val="11"/>
        <rFont val="Calibri"/>
        <family val="2"/>
      </rPr>
      <t>­</t>
    </r>
    <r>
      <rPr>
        <sz val="11"/>
        <rFont val="Times New Roman"/>
        <family val="1"/>
      </rPr>
      <t>       </t>
    </r>
    <r>
      <rPr>
        <b/>
        <sz val="11"/>
        <rFont val="Times New Roman"/>
        <family val="1"/>
      </rPr>
      <t xml:space="preserve"> #  </t>
    </r>
    <r>
      <rPr>
        <sz val="11"/>
        <rFont val="Tahoma"/>
        <family val="2"/>
      </rPr>
      <t>On Loans &amp; Advances</t>
    </r>
  </si>
  <si>
    <r>
      <rPr>
        <b/>
        <sz val="11"/>
        <rFont val="Arial"/>
        <family val="2"/>
      </rPr>
      <t>h.</t>
    </r>
    <r>
      <rPr>
        <b/>
        <sz val="11"/>
        <rFont val="Times New Roman"/>
        <family val="1"/>
      </rPr>
      <t xml:space="preserve">      </t>
    </r>
    <r>
      <rPr>
        <b/>
        <sz val="11"/>
        <rFont val="Tahoma"/>
        <family val="2"/>
      </rPr>
      <t>Claims Receivable                                                                         I       Govt. Grant ____________                                                               II     NAHEP _______________                                                       III    GPF  :5361730                                                                                         IV     U-Remittance ___________                                                     V      R-Deposit :1547659_________                                                    VI    Others(pls Specify) __________</t>
    </r>
  </si>
  <si>
    <t>Total B</t>
  </si>
  <si>
    <t>Annexure to Schedule 7</t>
  </si>
  <si>
    <t>Name of the Institute/Centre/Directorate_________________________________________</t>
  </si>
  <si>
    <t>Status of Advances given out of Government Grant pertaining to 2022-23 only as on 31-3-2023</t>
  </si>
  <si>
    <t>Sl.No.</t>
  </si>
  <si>
    <t>Head of Accounts</t>
  </si>
  <si>
    <t>Advances given during 2022-23</t>
  </si>
  <si>
    <t>Advances settled during 2022-23</t>
  </si>
  <si>
    <t>Unsettled Advances as on 31-3-2023</t>
  </si>
  <si>
    <t>Govt. Grant</t>
  </si>
  <si>
    <t>NAHEP</t>
  </si>
  <si>
    <t xml:space="preserve">A </t>
  </si>
  <si>
    <t>Advances to Employees</t>
  </si>
  <si>
    <t>Salary</t>
  </si>
  <si>
    <t>Travel</t>
  </si>
  <si>
    <t>LTC</t>
  </si>
  <si>
    <t>Medical</t>
  </si>
  <si>
    <t>Others (Contingencies)</t>
  </si>
  <si>
    <t>B</t>
  </si>
  <si>
    <t>Advances/Other amounts recoverable n cash or in kind/value</t>
  </si>
  <si>
    <t>Advances to Supplies &amp; Services</t>
  </si>
  <si>
    <t>Advances on Capital A/c</t>
  </si>
  <si>
    <t>Advances on Work in Progress</t>
  </si>
  <si>
    <t>GRAND TOTAL (A+B)</t>
  </si>
  <si>
    <t>Please Note: Only for Current Year</t>
  </si>
  <si>
    <t>Annexure to Sch. 7A</t>
  </si>
  <si>
    <t>Proforma in respect of Bank Reconciliation Statement</t>
  </si>
  <si>
    <t>All Bank Balance Details</t>
  </si>
  <si>
    <t>Sl. No.</t>
  </si>
  <si>
    <t>Name of the Banks and Account Nos.</t>
  </si>
  <si>
    <t>Savings/Current/Others (pls. specify)</t>
  </si>
  <si>
    <t>Nature of the transactions</t>
  </si>
  <si>
    <t>Whether Operative/ Dormant (since when)</t>
  </si>
  <si>
    <t>Bank Balance as per Bank Certificate 31/03/2023</t>
  </si>
  <si>
    <t>Bank Balances as per Cash Book 31/03/2023</t>
  </si>
  <si>
    <t>Bank certifiacte of the balances attached or not</t>
  </si>
  <si>
    <t>Bank reconciliation statement attached or not</t>
  </si>
  <si>
    <t>CURRENT</t>
  </si>
  <si>
    <t>Main transactons of Institute</t>
  </si>
  <si>
    <t>Operative</t>
  </si>
  <si>
    <t>Yes</t>
  </si>
  <si>
    <t>TSA</t>
  </si>
  <si>
    <t>SERB-Ext.Fund</t>
  </si>
  <si>
    <t>Annexure to Sch. 7B</t>
  </si>
  <si>
    <t>Fixed Deposit Receipts (2022-23)</t>
  </si>
  <si>
    <t>Name of the Banks</t>
  </si>
  <si>
    <t>Period</t>
  </si>
  <si>
    <t>Interest accrued</t>
  </si>
  <si>
    <t>Certificate of Confirmation of FDRs from the bank has been obtained/ The FDRs shown in the accounts have been physically checked</t>
  </si>
  <si>
    <t>Shown in Deposite A/c (Sch. 7A)</t>
  </si>
  <si>
    <t>From</t>
  </si>
  <si>
    <t>To</t>
  </si>
  <si>
    <t>Annexure  to Sch.7C</t>
  </si>
  <si>
    <t>ANNUAL ACCOUNTS 2022-23</t>
  </si>
  <si>
    <t>Break up of Investment held in the form of FDRs/STDRs/CLTD held as on 31st March 2023</t>
  </si>
  <si>
    <t>(In Rs.)</t>
  </si>
  <si>
    <t xml:space="preserve">Particulars </t>
  </si>
  <si>
    <t>Investment out of Govt. Grant</t>
  </si>
  <si>
    <t>Investment out of Revolving Fund</t>
  </si>
  <si>
    <t>Investment out of Deposit Schemes</t>
  </si>
  <si>
    <t>Investment out of Earmarked/Endowment Fund</t>
  </si>
  <si>
    <t xml:space="preserve">Internal revenue </t>
  </si>
  <si>
    <r>
      <rPr>
        <b/>
        <sz val="12"/>
        <rFont val="Arial Black"/>
        <family val="2"/>
      </rPr>
      <t>SCHEDULES FORMING PART OF INCOME AND EXPENDITURE ACCOUNTS FOR THE YEAR ENDED 31</t>
    </r>
    <r>
      <rPr>
        <b/>
        <vertAlign val="superscript"/>
        <sz val="12"/>
        <rFont val="Arial Black"/>
        <family val="2"/>
      </rPr>
      <t>ST</t>
    </r>
    <r>
      <rPr>
        <b/>
        <sz val="12"/>
        <rFont val="Arial Black"/>
        <family val="2"/>
      </rPr>
      <t xml:space="preserve"> MARCH 2023</t>
    </r>
  </si>
  <si>
    <t>Schedule 8 : Income from Sales/Services</t>
  </si>
  <si>
    <t>A. Income from Sales</t>
  </si>
  <si>
    <t>1. Sale of Farm Produce</t>
  </si>
  <si>
    <t>2. Sale of Fish &amp; Poultry</t>
  </si>
  <si>
    <t>3. Sale of Fruits &amp; Vegetables</t>
  </si>
  <si>
    <t>4. Sale of Vaccine</t>
  </si>
  <si>
    <t>5. Sale of Breeder Seeds</t>
  </si>
  <si>
    <t>6. Sale of Dairy Products</t>
  </si>
  <si>
    <t>7. Sale of Cotton and Jute Products</t>
  </si>
  <si>
    <t>8. Sale of Wool &amp; Woolen Products</t>
  </si>
  <si>
    <t>9. Sale of Meat</t>
  </si>
  <si>
    <t>10. Sale of other products</t>
  </si>
  <si>
    <t xml:space="preserve">11. Stock-in-Hand                                                                                         (i)   Finished Goods ___________________                                                           (ii)  Semi-Finished Goods ______________                                                             (iii)  Raw Material _____________________ . </t>
  </si>
  <si>
    <t>B. Income from Services</t>
  </si>
  <si>
    <t>1. Training Programmes</t>
  </si>
  <si>
    <t>2. Consultancy services</t>
  </si>
  <si>
    <t>3. Contract Research</t>
  </si>
  <si>
    <t>4. Contract Services</t>
  </si>
  <si>
    <t>5. Analytical Testing Fees</t>
  </si>
  <si>
    <t>6. Pre-shipment Inspection Fees</t>
  </si>
  <si>
    <t>7. Quarantine Fee</t>
  </si>
  <si>
    <t>8. Other Internal Resource Generation activities</t>
  </si>
  <si>
    <t xml:space="preserve">Schedule 9 : Grants/Subsidies: (irrevocable grants &amp; subsidies received) </t>
  </si>
  <si>
    <t>1)     Government of India – Govt. Grant</t>
  </si>
  <si>
    <t>a)     Opening Balance</t>
  </si>
  <si>
    <t>b)     Add Grants received during the year</t>
  </si>
  <si>
    <t>c)     Less Already refunded grants/ releases to ICAR Units</t>
  </si>
  <si>
    <t>d)     Less Utlized for Capital Expenditure</t>
  </si>
  <si>
    <t>e)     Less Grants Refundable</t>
  </si>
  <si>
    <t>f)      Less Grants lapsed in TSA</t>
  </si>
  <si>
    <t>g)      Net on Revenue a/c (a+b-c-d-e-f)</t>
  </si>
  <si>
    <t>2)      Government of India – NAHEP</t>
  </si>
  <si>
    <t>3)       ICAR HQ Share of Internal Resource</t>
  </si>
  <si>
    <t>c)     Less Already refunded grants</t>
  </si>
  <si>
    <t>e)     Less Utlized for Loans and Advances</t>
  </si>
  <si>
    <t>f)     Less Grants Refundable</t>
  </si>
  <si>
    <t>g)    Net on Revenue a/c (a+b-c-d-e-f)</t>
  </si>
  <si>
    <t>Total Net on Revenue a/c {1(g)+2(g)+3(g)}</t>
  </si>
  <si>
    <t>SCHEDULE TO INCOME AND EXPENDITURE ACCOUNT</t>
  </si>
  <si>
    <t>No. 9A:GRANTS/SUBSIDIES</t>
  </si>
  <si>
    <t>Particulars</t>
  </si>
  <si>
    <t>Opening Balance B/F</t>
  </si>
  <si>
    <t>Add: Grant received</t>
  </si>
  <si>
    <t>Less: Already Refunded *</t>
  </si>
  <si>
    <t xml:space="preserve">Less : Grants lapsed in TSA </t>
  </si>
  <si>
    <t>(i)     GIA-Capital         ________________</t>
  </si>
  <si>
    <t>(ii)    GIA-General       ________________</t>
  </si>
  <si>
    <t>(iii)    GIA-Salaries      ________________</t>
  </si>
  <si>
    <t>(iv)    GIA-Pension     ________________</t>
  </si>
  <si>
    <t>Less: Release to ICAR Units</t>
  </si>
  <si>
    <t>Total Grants :  (1+2-3-4-5)</t>
  </si>
  <si>
    <t>Less:Grant  Utilized for Capital Expenditure</t>
  </si>
  <si>
    <t>Balance : (6-7)</t>
  </si>
  <si>
    <t>Less: Grants utilised under Grants-in-Aid-Salaries</t>
  </si>
  <si>
    <t>Less: Grants utilised under Pension</t>
  </si>
  <si>
    <t>Less: Grants utilised under Grants-in-Aid-General</t>
  </si>
  <si>
    <t>Total : Revenue Expenditure (9+10+11)</t>
  </si>
  <si>
    <t>Balance : (8-12)</t>
  </si>
  <si>
    <t>Total : Capital + Revenue Expenditure (7+12)</t>
  </si>
  <si>
    <t>Balance : Refundable to Government (6-14)</t>
  </si>
  <si>
    <t>Total Grant (c/f)</t>
  </si>
  <si>
    <t>Details of Refunds</t>
  </si>
  <si>
    <t xml:space="preserve">     Govt. Grant</t>
  </si>
  <si>
    <t>a) Refunds pertaining to previous year(s) as in Opening Balance</t>
  </si>
  <si>
    <t>b) Refund pertaining to Current FY 2022-23</t>
  </si>
  <si>
    <t>Total Refunds (a+b) as per row 3 above</t>
  </si>
  <si>
    <t>s</t>
  </si>
  <si>
    <t>Annexure to Schedule 9 (A-1)</t>
  </si>
  <si>
    <t>Detailed break-up of Institute &amp; Schemes Expenditure for the year 2022-23</t>
  </si>
  <si>
    <t>INSTITUTE EXPENDITURE</t>
  </si>
  <si>
    <t>Head</t>
  </si>
  <si>
    <t>Institute Expenditure (Other than NEH &amp; TSP)</t>
  </si>
  <si>
    <t>NEH</t>
  </si>
  <si>
    <t>TSP</t>
  </si>
  <si>
    <t>SCSP</t>
  </si>
  <si>
    <t>11(4+6+8+10)</t>
  </si>
  <si>
    <t>RE</t>
  </si>
  <si>
    <t>Exp</t>
  </si>
  <si>
    <t>Grants utilised for Capital Expenditure</t>
  </si>
  <si>
    <t>Grants utilised for Grant in Aid - Salaries</t>
  </si>
  <si>
    <t>Grants utilised for Grant in Aid -General</t>
  </si>
  <si>
    <t>(i)</t>
  </si>
  <si>
    <t>Pension</t>
  </si>
  <si>
    <t>(ii)</t>
  </si>
  <si>
    <t>Other than Pension</t>
  </si>
  <si>
    <t>X</t>
  </si>
  <si>
    <t>Break-up of expenditure related to  Schemes/Project (AICRPs, Network Project, NAIP,  NAHEP, IP&amp;TM, NFBSRA,Education Division, KVKs, Additional support provided under non-scheme etc.)</t>
  </si>
  <si>
    <t>Name of the Schemes/project (Please indicate Sl.No.of Schemes as per prescribed format )</t>
  </si>
  <si>
    <t>Source of Fund i.e.ICAR HQ/ICAR Institutes/Education Division/NAIP/NAHEP/NFBSRA etc</t>
  </si>
  <si>
    <t>Sl.No.of Schemes as per prescribed format</t>
  </si>
  <si>
    <t>PFMS Scheme Code</t>
  </si>
  <si>
    <t>Other than NEH</t>
  </si>
  <si>
    <t>Total Schemes</t>
  </si>
  <si>
    <t>GIA- Salary</t>
  </si>
  <si>
    <t>Capital</t>
  </si>
  <si>
    <t>General</t>
  </si>
  <si>
    <t>GRAND TOTAL</t>
  </si>
  <si>
    <t>14 (6+8+10+12)</t>
  </si>
  <si>
    <t>15 (7+9+11+13)</t>
  </si>
  <si>
    <t>(14+15)</t>
  </si>
  <si>
    <t>Intellectual Property Management and Transfer / Commercillisation of Agricultural Technology (ITMU)</t>
  </si>
  <si>
    <t>Zonal Technology Management Centre (ZTMC)</t>
  </si>
  <si>
    <t>Establishment of Agri-Business incubation (ABI) centres under XII the Plan Scheme for NAIF</t>
  </si>
  <si>
    <t>CIBA-AINP-FH</t>
  </si>
  <si>
    <t>NICRA-FT</t>
  </si>
  <si>
    <t>Swachhata Action Plan</t>
  </si>
  <si>
    <t>ICAR-NFS</t>
  </si>
  <si>
    <t>Referral Lab-Cochin</t>
  </si>
  <si>
    <t>ICAR-NASF- Foodomics</t>
  </si>
  <si>
    <t>ICAR-IRRI wrok plan</t>
  </si>
  <si>
    <t>Production Systems, Agribusiness and Institutions-Network impact project</t>
  </si>
  <si>
    <t>ICAR Emeritus Scientist-Dr.M.M. Prasad for "Conventional and molecular assessment of changes in profiles different bacterial groups of solar salt for better quality cured fish and for human consumption"</t>
  </si>
  <si>
    <t xml:space="preserve">                                          TOTAL</t>
  </si>
  <si>
    <t>Note: The sum of X+Y should match with the total Capital +Revenue Expenditure shown in Schedule 9A-Govt. Grant.</t>
  </si>
  <si>
    <t>SCHEMES RELEASES</t>
  </si>
  <si>
    <t>Details of releases made out of Schemes to ICAR Units/SAUs during 2022-23</t>
  </si>
  <si>
    <t xml:space="preserve">Name of the Schemes/Project(AICRPs,Network Project, IP&amp;TM, NFBSRA,Education Division,NAHEP,KVKs etc. </t>
  </si>
  <si>
    <t>Releases to  ICAR Units(List of ICAR Institutes should be attached)</t>
  </si>
  <si>
    <t>Releases to other than ICAR Units(SAUs/NGOs etc.)</t>
  </si>
  <si>
    <t>Actual Expenditure incurred by the Institute(PIU Unit) (if any)</t>
  </si>
  <si>
    <t xml:space="preserve">TOTAL </t>
  </si>
  <si>
    <t>6 (3+4+5 )</t>
  </si>
  <si>
    <t>NO. 9B: INTERNAL RESOURCE GENERATION</t>
  </si>
  <si>
    <t>Internal Resources Generated during 2022-23</t>
  </si>
  <si>
    <t>Additional amount provided by ICAR Hqrs. out of Council's share during 2022-23</t>
  </si>
  <si>
    <t>C</t>
  </si>
  <si>
    <t>D</t>
  </si>
  <si>
    <t>E (C+D)</t>
  </si>
  <si>
    <t>F</t>
  </si>
  <si>
    <t>Resources Generated at units / Received from Hqrs during 2022-23</t>
  </si>
  <si>
    <t>Total available Resources : (1+2)</t>
  </si>
  <si>
    <t>Less: Grants utilized for Capital Expenditure</t>
  </si>
  <si>
    <t>Balance: (3-4)</t>
  </si>
  <si>
    <t>Total : Revenue Expenditure (6+7+8)</t>
  </si>
  <si>
    <t>Balance : (5 - 9)</t>
  </si>
  <si>
    <t>Less: Expenditure on Loans &amp; Advances</t>
  </si>
  <si>
    <t>Balance: (10-11)</t>
  </si>
  <si>
    <t>Total: Capital + Revenue + Loans &amp; Adv. (4+9+11)</t>
  </si>
  <si>
    <t>Less: Already refunded to Council</t>
  </si>
  <si>
    <t>Balance: Refundable to Council  (12-14)</t>
  </si>
  <si>
    <t xml:space="preserve">                     INDIAN COUNCIL OF AGRICULTURAL RESEARCH</t>
  </si>
  <si>
    <t xml:space="preserve">                     CONSOLIDATED ANNUAL ACCOUNTS 2017-18</t>
  </si>
  <si>
    <t>SCHEDULE TO INCOME AND EXPENDITURE ACCOUNTs</t>
  </si>
  <si>
    <t>Internal Resources Generated during 2017-18</t>
  </si>
  <si>
    <t>Additional amount provided by ICAR Hqrs. Out of Council's Share during 2017-18</t>
  </si>
  <si>
    <t xml:space="preserve">Total </t>
  </si>
  <si>
    <t>Adjustment made during the year 16-17</t>
  </si>
  <si>
    <t>Resources Generated at units/ICAR Hqrs share distribution in 2017-18</t>
  </si>
  <si>
    <t>Total available resources: (1+2)</t>
  </si>
  <si>
    <t>Less: Grants utilized for capital expenditure</t>
  </si>
  <si>
    <t>Balance : (5-9)</t>
  </si>
  <si>
    <t>Balance : (10-11)</t>
  </si>
  <si>
    <t>Less: Already refunded</t>
  </si>
  <si>
    <t>Balance Refundable to Council (12-14)</t>
  </si>
  <si>
    <t>Sr.F&amp;AO</t>
  </si>
  <si>
    <t>ACCOUNTS-II SECTION</t>
  </si>
  <si>
    <t>S.No.</t>
  </si>
  <si>
    <t>Scheme/SMD</t>
  </si>
  <si>
    <t>CROP SCIENCES</t>
  </si>
  <si>
    <t>0085</t>
  </si>
  <si>
    <t>HORTICULTURAL SCIENCES</t>
  </si>
  <si>
    <t>0086</t>
  </si>
  <si>
    <t>NATURAL RESOURCE MANAGEMENT Institutes including Agro Forestry Res.</t>
  </si>
  <si>
    <t>1271</t>
  </si>
  <si>
    <t>NICRA/CRAI (Climate Resilient Agriculture Innovation)</t>
  </si>
  <si>
    <t>1410</t>
  </si>
  <si>
    <t>AGRICULTURAL ENGINEERING</t>
  </si>
  <si>
    <t>0088</t>
  </si>
  <si>
    <t>ANIMAL SCIENCES</t>
  </si>
  <si>
    <t>0089</t>
  </si>
  <si>
    <t>FISHERIES SCIENCE</t>
  </si>
  <si>
    <t>0090</t>
  </si>
  <si>
    <t>AGRICULTURAL ECONOMICS &amp; STATISTICS (Eco. Statistics and Management)</t>
  </si>
  <si>
    <t>0091</t>
  </si>
  <si>
    <t>AGRICULTURAL EDUCATION (Agri. Universities and Institutions)</t>
  </si>
  <si>
    <t>0093</t>
  </si>
  <si>
    <t>AGRICULTURAL EXTENSION</t>
  </si>
  <si>
    <t>0092</t>
  </si>
  <si>
    <t>HEAD QUARTER</t>
  </si>
  <si>
    <t>NATIONAL AGRICULTURAL SCIENCE FUND</t>
  </si>
  <si>
    <t>0097</t>
  </si>
  <si>
    <t>Schedule 10 : Fees/Subscriptions</t>
  </si>
  <si>
    <t>1. Entrance Fees</t>
  </si>
  <si>
    <t>2. Annual Fees/Subscriptions</t>
  </si>
  <si>
    <t>3. Seminar/Programme Fees</t>
  </si>
  <si>
    <t>4. Consultancy Fees</t>
  </si>
  <si>
    <t>5. Application Fees for Recruitment</t>
  </si>
  <si>
    <t>6. Diploma Charges</t>
  </si>
  <si>
    <t>7. Other (specify in notes to Accounts)</t>
  </si>
  <si>
    <t>Schedule 11 : INCOME FROM INVESEMENTS (EARMARKED &amp; ENDOWMENT)</t>
  </si>
  <si>
    <t>Investment from Earmarked funds</t>
  </si>
  <si>
    <t>Investment - others</t>
  </si>
  <si>
    <t>1) Interest</t>
  </si>
  <si>
    <t xml:space="preserve">    a) On government Securities</t>
  </si>
  <si>
    <t xml:space="preserve">    b) On Debentures/Bonds</t>
  </si>
  <si>
    <t>2) Dividends on Mutual Fund Securities</t>
  </si>
  <si>
    <t>3) Others (specify in Notes to Accounts)</t>
  </si>
  <si>
    <t>Transferred to Earmarked/Endowment Funds</t>
  </si>
  <si>
    <t xml:space="preserve"> </t>
  </si>
  <si>
    <t>Schedule 12 : Income from Royalty, Publications etc.</t>
  </si>
  <si>
    <t>1. Income from  Royalty</t>
  </si>
  <si>
    <t>2. Income from sale of Publications</t>
  </si>
  <si>
    <t>3. Others (Specify in Notes to Accounts)</t>
  </si>
  <si>
    <t>Schedule 13 : Interest earned</t>
  </si>
  <si>
    <t>1. On Term Deposits with scheduled Banks</t>
  </si>
  <si>
    <t>2. On savings Accounts with scheduled banks</t>
  </si>
  <si>
    <t>3.  *On Loans</t>
  </si>
  <si>
    <t xml:space="preserve">     a. Employees/Staff</t>
  </si>
  <si>
    <t xml:space="preserve">     b. Others (Specify in Notes to Accounts)</t>
  </si>
  <si>
    <t>4. On Debtors and other Receivables</t>
  </si>
  <si>
    <t xml:space="preserve">       *Calculation Sheet of Accrued Interest</t>
  </si>
  <si>
    <t xml:space="preserve">         Opening Balance of Accrued Interest 2021-22 (Sch. 7-B)</t>
  </si>
  <si>
    <t xml:space="preserve">      (-) Deduct Interest realised during the year (Sl. No. 9 at Annex. A)</t>
  </si>
  <si>
    <t xml:space="preserve">      (+) Add Accrued Interest shown in Sch. 13</t>
  </si>
  <si>
    <t># Closing Balance of Accrued Interest 2022-23 to be shown in Sch. 7-B</t>
  </si>
  <si>
    <t xml:space="preserve">Schedule 14 :  Other Income </t>
  </si>
  <si>
    <t>1. License Fee from quarters</t>
  </si>
  <si>
    <t>2. Income from Guest house charges</t>
  </si>
  <si>
    <t>3. Leave Salary and Pension  Contribution</t>
  </si>
  <si>
    <t>4. Revenue Receipts from Schemes</t>
  </si>
  <si>
    <t>5. Charges for use of Transport</t>
  </si>
  <si>
    <t>6. Water and Electricity Charges</t>
  </si>
  <si>
    <t>7. Revolving Fund income</t>
  </si>
  <si>
    <t>8. Surplus on sale/disposal of assets</t>
  </si>
  <si>
    <t xml:space="preserve">    a. Owned assets</t>
  </si>
  <si>
    <t xml:space="preserve">    b. Assets acquired out of grants or received free of cost</t>
  </si>
  <si>
    <t xml:space="preserve">9.  Miscellaneous income                                                        </t>
  </si>
  <si>
    <t>(i) Sale Proceeds of unserviceable stores/empties ______</t>
  </si>
  <si>
    <t xml:space="preserve">(ii) waste paper _________ </t>
  </si>
  <si>
    <t>(iii) tender papers ________</t>
  </si>
  <si>
    <t>(iv)  application forms &amp; others  Advt. charges _________</t>
  </si>
  <si>
    <t>(v) other miscellaneous income (Specify in Notes to                                                          Accounts ____________</t>
  </si>
  <si>
    <t xml:space="preserve">Schedule 15 :  Prior Period Income </t>
  </si>
  <si>
    <t>1. Prior Period Income</t>
  </si>
  <si>
    <t>Schedule 16 – Establishment Expenses</t>
  </si>
  <si>
    <t xml:space="preserve"> Govt.Grant</t>
  </si>
  <si>
    <t>Revenue Generation</t>
  </si>
  <si>
    <t>(A) Establishment Expenses</t>
  </si>
  <si>
    <t>a. Salaries, wages and allowances</t>
  </si>
  <si>
    <t>b. Contribution to Provident Fund</t>
  </si>
  <si>
    <t>c. Contribution to Other Funds (Specify)</t>
  </si>
  <si>
    <t>d. Bonus</t>
  </si>
  <si>
    <t>e. Staff Welfare Expenses</t>
  </si>
  <si>
    <t>f. Fees &amp; Honorarium</t>
  </si>
  <si>
    <t>g. Leave salary and Pension Contribution</t>
  </si>
  <si>
    <t>h.  Others (Specify in Notes to Accounts)</t>
  </si>
  <si>
    <t>Total Establishment Expenses</t>
  </si>
  <si>
    <t>(B) Pension Expenses</t>
  </si>
  <si>
    <t>Expenses on employee's Retirement and Terminal Benefits (Pension, Grautity, CVP, Leave Encashment)</t>
  </si>
  <si>
    <t>Total (A+B)</t>
  </si>
  <si>
    <t>Adjustments:</t>
  </si>
  <si>
    <t>Non Plan</t>
  </si>
  <si>
    <t>Salary as per R&amp;P A/c</t>
  </si>
  <si>
    <t>Add: Prior period LTC advances</t>
  </si>
  <si>
    <t>Add: prior period Med Advances</t>
  </si>
  <si>
    <t>Add: Other advances</t>
  </si>
  <si>
    <t>Add: March 2023 Salary</t>
  </si>
  <si>
    <t>NPS SAL R&amp;P</t>
  </si>
  <si>
    <t>Add: Mar 23</t>
  </si>
  <si>
    <t>Less: March 2022 salary</t>
  </si>
  <si>
    <t>Less: Mar 22</t>
  </si>
  <si>
    <t>Less: LTC advances</t>
  </si>
  <si>
    <t>Less: Medical Advances</t>
  </si>
  <si>
    <t>Net on salary</t>
  </si>
  <si>
    <t>Schedule 17 –  Research and Operational Expenses</t>
  </si>
  <si>
    <t>Revenue Genreration</t>
  </si>
  <si>
    <t>Scheme</t>
  </si>
  <si>
    <t>Non-Scheme</t>
  </si>
  <si>
    <t>A. RESEARCH EXPENSES</t>
  </si>
  <si>
    <t>1. Chemicals &amp; consumables</t>
  </si>
  <si>
    <t>2. Glassware</t>
  </si>
  <si>
    <t>3. Fertilizers</t>
  </si>
  <si>
    <t>4. Seeds</t>
  </si>
  <si>
    <t>5. Salts &amp; Minerals</t>
  </si>
  <si>
    <t>6. Farm manure</t>
  </si>
  <si>
    <t>7. Other consumables</t>
  </si>
  <si>
    <t>8. Photograph/Audiovisual          Expenses</t>
  </si>
  <si>
    <t>9. Computer Hire charges</t>
  </si>
  <si>
    <t>10. Purchase of Animal for Research</t>
  </si>
  <si>
    <t>11. Feeding and upkeep of Animals</t>
  </si>
  <si>
    <t>12.Other research expenditure</t>
  </si>
  <si>
    <t>B. OPERATIONAL EXPENSES</t>
  </si>
  <si>
    <t>Chemicals PL</t>
  </si>
  <si>
    <t>Glasswares PL</t>
  </si>
  <si>
    <t>Othr Con  PL</t>
  </si>
  <si>
    <t>Othr Res PL</t>
  </si>
  <si>
    <t>Op. Exp.</t>
  </si>
  <si>
    <t>Exp as per R&amp; P A/c</t>
  </si>
  <si>
    <t>Add: Prev Stock</t>
  </si>
  <si>
    <t>Add: Prev advance</t>
  </si>
  <si>
    <t>Less: Current stock</t>
  </si>
  <si>
    <t>Less: Outstanding advances</t>
  </si>
  <si>
    <t>Less: Previous liability</t>
  </si>
  <si>
    <t>Add: Prev prepaid exp</t>
  </si>
  <si>
    <t>Add: Liability - 22-23</t>
  </si>
  <si>
    <t>Less: Prepaid Exp -21-22</t>
  </si>
  <si>
    <t>(Amount Rs.)</t>
  </si>
  <si>
    <t>Schedule 18 –  Administrative Expenses</t>
  </si>
  <si>
    <t>Govt.Grant</t>
  </si>
  <si>
    <t>A. Infrastructure</t>
  </si>
  <si>
    <t>a) Rent, Rates &amp; Taxes</t>
  </si>
  <si>
    <t>b) Electricity Charges</t>
  </si>
  <si>
    <t>c) Water Charges</t>
  </si>
  <si>
    <t>d) Security Charges</t>
  </si>
  <si>
    <t>e) Vehicle Running Expenses</t>
  </si>
  <si>
    <t>f) Insurance</t>
  </si>
  <si>
    <t>B. Communication</t>
  </si>
  <si>
    <t xml:space="preserve">    a) Postage &amp; Telegram</t>
  </si>
  <si>
    <t xml:space="preserve">    b) Telephones &amp; Fax</t>
  </si>
  <si>
    <t>C. Repairs &amp; Maintenance</t>
  </si>
  <si>
    <t xml:space="preserve">    a) Buildings</t>
  </si>
  <si>
    <t xml:space="preserve">    b) Plants &amp; Machinery </t>
  </si>
  <si>
    <t xml:space="preserve">    c) Furniture &amp; Fixtures</t>
  </si>
  <si>
    <t xml:space="preserve">    d) Vehicle</t>
  </si>
  <si>
    <t xml:space="preserve">    e) Office Equipment</t>
  </si>
  <si>
    <t xml:space="preserve">    f) Computers</t>
  </si>
  <si>
    <t xml:space="preserve">    g) Roads</t>
  </si>
  <si>
    <t>D. Others</t>
  </si>
  <si>
    <t xml:space="preserve">    a) Printing &amp; Stationery</t>
  </si>
  <si>
    <t xml:space="preserve">        (consumables)</t>
  </si>
  <si>
    <t xml:space="preserve">    b) Newspapers &amp; Periodicals</t>
  </si>
  <si>
    <t xml:space="preserve">    c) Travel &amp; Conveyance –</t>
  </si>
  <si>
    <t xml:space="preserve">        Domestic</t>
  </si>
  <si>
    <t xml:space="preserve">    d) Travel – Foreign</t>
  </si>
  <si>
    <t xml:space="preserve">    e) Advertisement &amp; Publicity</t>
  </si>
  <si>
    <t xml:space="preserve">    f) Legal &amp; Professional charges</t>
  </si>
  <si>
    <t xml:space="preserve">    g) Auditor’s remuneration</t>
  </si>
  <si>
    <t xml:space="preserve">    h) Hospitality expenses</t>
  </si>
  <si>
    <t xml:space="preserve">    i) Bank charges</t>
  </si>
  <si>
    <t xml:space="preserve">    j) Meeting expenses</t>
  </si>
  <si>
    <t xml:space="preserve">    k) Steering &amp; Monitoring </t>
  </si>
  <si>
    <t xml:space="preserve">        Committee expenses</t>
  </si>
  <si>
    <t xml:space="preserve">    l) Loss on sale of assets</t>
  </si>
  <si>
    <t xml:space="preserve">    m) Provision for bad &amp; doubtful </t>
  </si>
  <si>
    <t xml:space="preserve">         debt/advances</t>
  </si>
  <si>
    <t xml:space="preserve">     n) Irrecoverable balances</t>
  </si>
  <si>
    <t xml:space="preserve">         written off</t>
  </si>
  <si>
    <r>
      <rPr>
        <b/>
        <sz val="12"/>
        <rFont val="Arial"/>
        <family val="2"/>
      </rPr>
      <t xml:space="preserve">    o) Other expenses </t>
    </r>
    <r>
      <rPr>
        <b/>
        <sz val="9"/>
        <rFont val="Arial"/>
        <family val="2"/>
      </rPr>
      <t xml:space="preserve">(Specify in Notes to Accounts) </t>
    </r>
    <r>
      <rPr>
        <b/>
        <sz val="11"/>
        <rFont val="Arial"/>
        <family val="2"/>
      </rPr>
      <t xml:space="preserve">    </t>
    </r>
  </si>
  <si>
    <t>R&amp;M Plant &amp; machinery</t>
  </si>
  <si>
    <t>Security</t>
  </si>
  <si>
    <t>R &amp; M Ofiice Equipment</t>
  </si>
  <si>
    <t>R&amp;M Bldg</t>
  </si>
  <si>
    <t>TA</t>
  </si>
  <si>
    <t>R&amp;M VEHICLE VESSEL</t>
  </si>
  <si>
    <t>Othr Misc</t>
  </si>
  <si>
    <t>Exp as per R&amp;P A/c</t>
  </si>
  <si>
    <t>Add: Prev stock (21-22)</t>
  </si>
  <si>
    <t>Add: Prev outstanding adv (21-22)</t>
  </si>
  <si>
    <t>Add: Prev prepaid expenses (21-22)</t>
  </si>
  <si>
    <t>Less: Prev Liability (21-22)</t>
  </si>
  <si>
    <t>Add: Liability (22-23)</t>
  </si>
  <si>
    <t>Less: Stock (22-23)</t>
  </si>
  <si>
    <t>Less: Prepaid expenses (22-23)</t>
  </si>
  <si>
    <t>Less: Outstanding advances (22-23)</t>
  </si>
  <si>
    <t>PLAN</t>
  </si>
  <si>
    <t>ELECTRICITY</t>
  </si>
  <si>
    <t>WATER CHGES</t>
  </si>
  <si>
    <t>TELEPHONE</t>
  </si>
  <si>
    <t>INSURANCE</t>
  </si>
  <si>
    <t>PRI &amp; STRY</t>
  </si>
  <si>
    <t>RENT</t>
  </si>
  <si>
    <t>Vehicle Running Exp</t>
  </si>
  <si>
    <t>Senior Finance &amp; Accounts Officer</t>
  </si>
  <si>
    <t>Schedule 19 – Grants,  Subsidies, etc.</t>
  </si>
  <si>
    <r>
      <rPr>
        <b/>
        <sz val="11"/>
        <rFont val="Calibri"/>
        <family val="2"/>
        <scheme val="minor"/>
      </rPr>
      <t xml:space="preserve">A) Grants given to State Agricultural Universities – Establishment of KVKs                                                                                 </t>
    </r>
    <r>
      <rPr>
        <sz val="11"/>
        <rFont val="Calibri"/>
        <family val="2"/>
      </rPr>
      <t xml:space="preserve">i)Grants-in-aid-Capital_______a________                                     ii)Grants-in-aid-Salaries_______b_______                </t>
    </r>
    <r>
      <rPr>
        <b/>
        <sz val="11"/>
        <rFont val="Calibri"/>
        <family val="2"/>
      </rPr>
      <t xml:space="preserve">  </t>
    </r>
    <r>
      <rPr>
        <sz val="11"/>
        <rFont val="Calibri"/>
        <family val="2"/>
      </rPr>
      <t>iii)Grants-in-aid-Revenue_______c______</t>
    </r>
    <r>
      <rPr>
        <b/>
        <sz val="11"/>
        <rFont val="Calibri"/>
        <family val="2"/>
      </rPr>
      <t xml:space="preserve">                                                                               </t>
    </r>
  </si>
  <si>
    <t xml:space="preserve">The sum of a+b+c appears here </t>
  </si>
  <si>
    <r>
      <rPr>
        <b/>
        <sz val="11"/>
        <rFont val="Calibri"/>
        <family val="2"/>
        <scheme val="minor"/>
      </rPr>
      <t xml:space="preserve">B) Grants given to State Agricultural Universities – All India Coordinated Research Projects                                                                                                    </t>
    </r>
    <r>
      <rPr>
        <sz val="11"/>
        <rFont val="Calibri"/>
        <family val="2"/>
      </rPr>
      <t xml:space="preserve">i)Grants-in-aid-Capital_______a________                                                                ii)Grants-in-aid-Salaries_______b_______                                                     </t>
    </r>
    <r>
      <rPr>
        <b/>
        <sz val="11"/>
        <rFont val="Calibri"/>
        <family val="2"/>
      </rPr>
      <t xml:space="preserve">  </t>
    </r>
    <r>
      <rPr>
        <sz val="11"/>
        <rFont val="Calibri"/>
        <family val="2"/>
      </rPr>
      <t>iii)Grants-in-aid-Revenue_______c______</t>
    </r>
    <r>
      <rPr>
        <b/>
        <sz val="11"/>
        <rFont val="Calibri"/>
        <family val="2"/>
      </rPr>
      <t xml:space="preserve">                                                                               </t>
    </r>
  </si>
  <si>
    <r>
      <rPr>
        <b/>
        <sz val="11"/>
        <rFont val="Calibri"/>
        <family val="2"/>
        <scheme val="minor"/>
      </rPr>
      <t xml:space="preserve">C) Grants given to - Trainers Training Centres                                                                              </t>
    </r>
    <r>
      <rPr>
        <sz val="11"/>
        <rFont val="Calibri"/>
        <family val="2"/>
      </rPr>
      <t xml:space="preserve">i)Grants-in-aid-Capital_______a________                                                                    ii)Grants-in-aid-Salaries_______b_______                                                     </t>
    </r>
    <r>
      <rPr>
        <b/>
        <sz val="11"/>
        <rFont val="Calibri"/>
        <family val="2"/>
      </rPr>
      <t xml:space="preserve">  </t>
    </r>
    <r>
      <rPr>
        <sz val="11"/>
        <rFont val="Calibri"/>
        <family val="2"/>
      </rPr>
      <t>iii)Grants-in-aid-Revenue_______c______</t>
    </r>
    <r>
      <rPr>
        <b/>
        <sz val="11"/>
        <rFont val="Calibri"/>
        <family val="2"/>
      </rPr>
      <t xml:space="preserve">                                                                               </t>
    </r>
  </si>
  <si>
    <r>
      <rPr>
        <b/>
        <sz val="11"/>
        <rFont val="Calibri"/>
        <family val="2"/>
        <scheme val="minor"/>
      </rPr>
      <t xml:space="preserve">D) Financial Assistance to Scientific Societies                                                                             </t>
    </r>
    <r>
      <rPr>
        <sz val="11"/>
        <rFont val="Calibri"/>
        <family val="2"/>
      </rPr>
      <t xml:space="preserve">i)Grants-in-aid-Capital_______a________                               ii)Grants-in-aid-Salaries_______b_______                              </t>
    </r>
    <r>
      <rPr>
        <b/>
        <sz val="11"/>
        <rFont val="Calibri"/>
        <family val="2"/>
      </rPr>
      <t xml:space="preserve">  </t>
    </r>
    <r>
      <rPr>
        <sz val="11"/>
        <rFont val="Calibri"/>
        <family val="2"/>
      </rPr>
      <t>iii)Grants-in-aid-Revenue_______c______</t>
    </r>
    <r>
      <rPr>
        <b/>
        <sz val="11"/>
        <rFont val="Calibri"/>
        <family val="2"/>
      </rPr>
      <t xml:space="preserve">                                                                               </t>
    </r>
  </si>
  <si>
    <r>
      <rPr>
        <b/>
        <sz val="11"/>
        <rFont val="Calibri"/>
        <family val="2"/>
        <scheme val="minor"/>
      </rPr>
      <t xml:space="preserve">E) Others                                                                              </t>
    </r>
    <r>
      <rPr>
        <sz val="11"/>
        <rFont val="Calibri"/>
        <family val="2"/>
      </rPr>
      <t xml:space="preserve">i)Grants-in-aid-Capital_______a________                                                                    ii)Grants-in-aid-Salaries_______b_______                                                                </t>
    </r>
    <r>
      <rPr>
        <b/>
        <sz val="11"/>
        <rFont val="Calibri"/>
        <family val="2"/>
      </rPr>
      <t xml:space="preserve">  </t>
    </r>
    <r>
      <rPr>
        <sz val="11"/>
        <rFont val="Calibri"/>
        <family val="2"/>
      </rPr>
      <t>iii)Grants-in-aid-Revenue_______c______</t>
    </r>
    <r>
      <rPr>
        <b/>
        <sz val="11"/>
        <rFont val="Calibri"/>
        <family val="2"/>
      </rPr>
      <t xml:space="preserve">                                                                               </t>
    </r>
  </si>
  <si>
    <t>Summary of detailed Expenditure (Annexure-19)</t>
  </si>
  <si>
    <t>BE/RE</t>
  </si>
  <si>
    <t>Release</t>
  </si>
  <si>
    <t>1) Grants-in-aid-Capital</t>
  </si>
  <si>
    <t>2) Grants-in-aid-Salaries</t>
  </si>
  <si>
    <t>3) Grants-in-aid-Revenue</t>
  </si>
  <si>
    <t>Note: X is the amount released as Grants/Subsidies taken as expenditure in this schedule. The Headwise break-up should be supported with the documentary evidence, i.e.  the instiute's covering letter to the grantee bodies conveying the  break-ups.  The actual utilization may be collected from the grantee institutions and depicted in detail in Annexure-19.</t>
  </si>
  <si>
    <t xml:space="preserve">                                                                                             Annexure to Sch.19</t>
  </si>
  <si>
    <t>List of funds released to State Agricultural Universities and other agencies outside ICAR</t>
  </si>
  <si>
    <t>(Please furnish project/scheme wise list)</t>
  </si>
  <si>
    <t>1.  Name of the ICAR Project/Scheme________________________________</t>
  </si>
  <si>
    <t xml:space="preserve">    (Separate depiction required for each scheme)</t>
  </si>
  <si>
    <t>Name of the SAUs/Agency outside ICAR</t>
  </si>
  <si>
    <t>Funds Released during 2022-23</t>
  </si>
  <si>
    <t>Utilization under Grants-in-aid-Capital              (A)</t>
  </si>
  <si>
    <t>Utilization under Grants-in-aid-Salaries (B)</t>
  </si>
  <si>
    <t>Utilization under Grants-in-aid-Revenue (C)</t>
  </si>
  <si>
    <t>Total Utilization (A+B+C)</t>
  </si>
  <si>
    <t>Whether provisional UCs of 2022-23 received ? Yes/No *</t>
  </si>
  <si>
    <t>Scheme 1…….</t>
  </si>
  <si>
    <t>Scheme 2…….</t>
  </si>
  <si>
    <t>Scheme 3…….</t>
  </si>
  <si>
    <t>* Fund releasing units may ensure that Provisional Utilisation Certificates have been received by the Grantee Institutions before funds for year 2022-23 are released(Refer Rule 212(1) of GFR</t>
  </si>
  <si>
    <t>Schedule 20 –  Miscellaneous Expenses</t>
  </si>
  <si>
    <t xml:space="preserve">Revenue Generation </t>
  </si>
  <si>
    <t>Others</t>
  </si>
  <si>
    <t>1. Publicity and exhibitions</t>
  </si>
  <si>
    <t>2. Guest House</t>
  </si>
  <si>
    <t>3. Human Resource Develop-</t>
  </si>
  <si>
    <t>ment</t>
  </si>
  <si>
    <t>4. Revolving Fund Schemes –</t>
  </si>
  <si>
    <t>Expenditure</t>
  </si>
  <si>
    <t>5. Others  (Specify in Notes to Accounts)</t>
  </si>
  <si>
    <t>Publicity &amp; exhibitions</t>
  </si>
  <si>
    <t>OTHERS</t>
  </si>
  <si>
    <t>Exp. As per R&amp;P account</t>
  </si>
  <si>
    <t>Add outstanding advance 2021-22</t>
  </si>
  <si>
    <t>Less outstanding advance 2022-23</t>
  </si>
  <si>
    <t>Schedule 21 :  Prior Period Expenditure</t>
  </si>
  <si>
    <t>1. Prior Period Expenditure</t>
  </si>
  <si>
    <t>Annexure to Sch. 23</t>
  </si>
  <si>
    <t>(Rupees in Lakhs)</t>
  </si>
  <si>
    <t>Schedule 23 :  Contigent Liabilities &amp; Notes to Accounts</t>
  </si>
  <si>
    <t xml:space="preserve">Contingent Liabilities(Court Cases, PIL etc,) </t>
  </si>
  <si>
    <t xml:space="preserve"> Letters of credit opened by the bank on behalf of the Council </t>
  </si>
  <si>
    <t>Estimated value of Contracts remaining to be executed on capital Account and not provided for (Net of Advances)</t>
  </si>
  <si>
    <t>Particular</t>
  </si>
  <si>
    <t>Whether  applicable                Yes/No</t>
  </si>
  <si>
    <t>If Yes provide details such as area, amount,nature of land etc.</t>
  </si>
  <si>
    <t xml:space="preserve">Details of encroached/disputed land </t>
  </si>
  <si>
    <t xml:space="preserve">Remarks </t>
  </si>
  <si>
    <t>1. GPF Annual Account for the CFY 2022-23 is prepared separately.</t>
  </si>
  <si>
    <r>
      <rPr>
        <sz val="10.5"/>
        <rFont val="Calibri"/>
        <family val="2"/>
        <scheme val="minor"/>
      </rPr>
      <t xml:space="preserve">2. The </t>
    </r>
    <r>
      <rPr>
        <b/>
        <sz val="10.5"/>
        <rFont val="Calibri"/>
        <family val="2"/>
      </rPr>
      <t>details of Land</t>
    </r>
    <r>
      <rPr>
        <sz val="10.5"/>
        <rFont val="Calibri"/>
        <family val="2"/>
      </rPr>
      <t xml:space="preserve"> (Leasehold/ Freehold) are depicted as </t>
    </r>
    <r>
      <rPr>
        <b/>
        <sz val="10.5"/>
        <rFont val="Calibri"/>
        <family val="2"/>
      </rPr>
      <t>Rs. 1/-</t>
    </r>
    <r>
      <rPr>
        <sz val="10.5"/>
        <rFont val="Calibri"/>
        <family val="2"/>
      </rPr>
      <t xml:space="preserve"> instead of </t>
    </r>
    <r>
      <rPr>
        <b/>
        <sz val="10.5"/>
        <rFont val="Calibri"/>
        <family val="2"/>
      </rPr>
      <t xml:space="preserve">'nil' </t>
    </r>
    <r>
      <rPr>
        <sz val="10.5"/>
        <rFont val="Calibri"/>
        <family val="2"/>
      </rPr>
      <t xml:space="preserve">in the Accounts  </t>
    </r>
    <r>
      <rPr>
        <i/>
        <sz val="10.5"/>
        <rFont val="Calibri"/>
        <family val="2"/>
      </rPr>
      <t>(if applicable)</t>
    </r>
    <r>
      <rPr>
        <sz val="10.5"/>
        <rFont val="Calibri"/>
        <family val="2"/>
      </rPr>
      <t>.</t>
    </r>
  </si>
  <si>
    <r>
      <rPr>
        <b/>
        <sz val="10.5"/>
        <color rgb="FF1D2228"/>
        <rFont val="Calibri"/>
        <family val="2"/>
        <scheme val="minor"/>
      </rPr>
      <t>3. Asset Register : </t>
    </r>
    <r>
      <rPr>
        <sz val="10.5"/>
        <color indexed="63"/>
        <rFont val="Calibri"/>
        <family val="2"/>
      </rPr>
      <t>All units are hereby instructed to reconcile the figures of Fixed Assets provided in their annual accounts with Fixed Asset Register maintained at the institute level. Reconciled figures need to be put in the Accounts and it should be duly certified as per proforma:-</t>
    </r>
  </si>
  <si>
    <t>“ It is hereby certified that the figures of Fixed Asset as show in the Annual Accounts of (name of institute) for the FY 2022-23 have been duly reconciled with the figures of Fixed Asset Register maintained at the institute level.”</t>
  </si>
  <si>
    <r>
      <rPr>
        <b/>
        <sz val="10.5"/>
        <color rgb="FF1D2228"/>
        <rFont val="Calibri"/>
        <family val="2"/>
        <scheme val="minor"/>
      </rPr>
      <t>4. Accrued Interest : </t>
    </r>
    <r>
      <rPr>
        <sz val="10.5"/>
        <color indexed="63"/>
        <rFont val="Calibri"/>
        <family val="2"/>
      </rPr>
      <t>A certificate with regard to the amount of accrued interest shown in Sch-7 vis-a-vis Sch-13 should be furnished in Notes to Accounts, as follows:-</t>
    </r>
  </si>
  <si>
    <t>“It is hereby certified that amount of Accrued interest shown in the Annual Accounts of (name of institute) for the FY 2022-23 has been duly reconciled with manual record registers maintained at institute level and no discrepancy has been observed in the same.”</t>
  </si>
  <si>
    <r>
      <rPr>
        <b/>
        <sz val="10.5"/>
        <color rgb="FF1D2228"/>
        <rFont val="Calibri"/>
        <family val="2"/>
        <scheme val="minor"/>
      </rPr>
      <t>5. Interest Bearing Advances : </t>
    </r>
    <r>
      <rPr>
        <sz val="10.5"/>
        <color indexed="63"/>
        <rFont val="Calibri"/>
        <family val="2"/>
      </rPr>
      <t>A certificate with regard to the amount of accrued interest shown in Sch-7 vis-a-vis Sch-4 should be furnished in Notes to Accounts, as follows:-</t>
    </r>
  </si>
  <si>
    <t>“It is hereby certified that amount of Interest Bearing Advances shown in the Annual Accounts of (name of institute) for the FY 2022-23 has been duly reconciled with manual record registers maintained at institute level and no discrepancy has been observed in the same.”</t>
  </si>
  <si>
    <t>(Institute also required to maintain detailed record in this regard which may be made available to internal audit team at the time of conduct of audit.)</t>
  </si>
  <si>
    <t>Contents</t>
  </si>
  <si>
    <t>Balance Sheet of Annual Accounts as on 31.03.2017</t>
  </si>
  <si>
    <t>1</t>
  </si>
  <si>
    <t>Income &amp; Expenditure Account for the year 2016-17</t>
  </si>
  <si>
    <t>2</t>
  </si>
  <si>
    <t>Schedules 1 to 21 forming part of Balance Sheet as on 31.03.2017</t>
  </si>
  <si>
    <t>3 - 31</t>
  </si>
  <si>
    <t>Receipts and Payment Account for the year 2016-17</t>
  </si>
  <si>
    <t xml:space="preserve"> 32</t>
  </si>
  <si>
    <t>Schedule 22 - Significant Accounting Policies</t>
  </si>
  <si>
    <t>33 - 38</t>
  </si>
  <si>
    <t>Schedule 23 - Contingent Liabilities and Notes of Accounts</t>
  </si>
  <si>
    <t>39 - 41</t>
  </si>
  <si>
    <t>RECEIPTS AND PAYMENT ACCOUNT FOR THE YEAR ENDING 31 MARCH  2023</t>
  </si>
  <si>
    <t>(New Format)</t>
  </si>
  <si>
    <t>Receipts</t>
  </si>
  <si>
    <t>Payments</t>
  </si>
  <si>
    <t>I.     Opening Balances:</t>
  </si>
  <si>
    <t xml:space="preserve">I.  Expenses: </t>
  </si>
  <si>
    <t xml:space="preserve">     a)      Cash in hand</t>
  </si>
  <si>
    <t xml:space="preserve">    a.   Establishment</t>
  </si>
  <si>
    <t xml:space="preserve">     b)      Bank balances</t>
  </si>
  <si>
    <t xml:space="preserve">    b.   Administrative</t>
  </si>
  <si>
    <t>·        in current Accounts (Institute)</t>
  </si>
  <si>
    <t xml:space="preserve">    c.    Research</t>
  </si>
  <si>
    <t>·        in current Accounts (NAHEP)</t>
  </si>
  <si>
    <t>·        in Deposit Accounts</t>
  </si>
  <si>
    <t>II.  Payments against funds for</t>
  </si>
  <si>
    <t>·        in Savings Account</t>
  </si>
  <si>
    <t xml:space="preserve">    various projects</t>
  </si>
  <si>
    <t xml:space="preserve">      c)     In transit</t>
  </si>
  <si>
    <t>II.     Grants Received from Govt. of India</t>
  </si>
  <si>
    <t>III.  Investments and Deposits</t>
  </si>
  <si>
    <t>a)    Govt. Grant</t>
  </si>
  <si>
    <t>a)    Earmarked funds</t>
  </si>
  <si>
    <t>b)    NAHEP</t>
  </si>
  <si>
    <t>III.  Donations and Contribution</t>
  </si>
  <si>
    <t>IV.  Expenditure on Fixed Assets</t>
  </si>
  <si>
    <t>IV. Income on Investments from</t>
  </si>
  <si>
    <t xml:space="preserve">      and capital work-in-progress</t>
  </si>
  <si>
    <t>a)       Earmarked Funds</t>
  </si>
  <si>
    <t>a)  Purchase of Fixed Assets</t>
  </si>
  <si>
    <t>b)      Own Funds</t>
  </si>
  <si>
    <t>b) Expenditure on Work in  Progress</t>
  </si>
  <si>
    <t>V.  Interest Received</t>
  </si>
  <si>
    <t>a)      Bank Deposits</t>
  </si>
  <si>
    <t>V.  Repayment of un- utilized  Grants/Loans/Borrowings</t>
  </si>
  <si>
    <t>b)      Loans, Advances</t>
  </si>
  <si>
    <t>VI.      Grants Lapsed in TSA during Current Year</t>
  </si>
  <si>
    <t>VI.   Deposits and Advances</t>
  </si>
  <si>
    <t>VII.  Deposits and Advances</t>
  </si>
  <si>
    <t>VII.  Other Income</t>
  </si>
  <si>
    <t>VIII.  Other payments</t>
  </si>
  <si>
    <t>VIII.  Loans and Borrowings</t>
  </si>
  <si>
    <t>IX.  Closing Balances</t>
  </si>
  <si>
    <t>a)       Cash in hand</t>
  </si>
  <si>
    <t>IX.   Misc. Receipts</t>
  </si>
  <si>
    <t>b)      Bank Balances</t>
  </si>
  <si>
    <t>c)       In transit</t>
  </si>
  <si>
    <t>Annexure to Receipts &amp; Payments A/c (New Format)</t>
  </si>
  <si>
    <t>I.     Opening balances:</t>
  </si>
  <si>
    <t xml:space="preserve">     a)       Cash in hand</t>
  </si>
  <si>
    <t xml:space="preserve">    a.    Establishment</t>
  </si>
  <si>
    <t xml:space="preserve">     · in current Accounts (Institute)</t>
  </si>
  <si>
    <t>Govt. Grant -</t>
  </si>
  <si>
    <t xml:space="preserve">     · in current Accounts (NAHEP)</t>
  </si>
  <si>
    <t xml:space="preserve">           (i) Scheme</t>
  </si>
  <si>
    <t xml:space="preserve">     - in Deposit Accounts</t>
  </si>
  <si>
    <t xml:space="preserve">           (ii) Non-Scheme</t>
  </si>
  <si>
    <t xml:space="preserve">     - in Savings Account</t>
  </si>
  <si>
    <t xml:space="preserve">Revenue Resources - </t>
  </si>
  <si>
    <t xml:space="preserve">      c)   In transit</t>
  </si>
  <si>
    <t xml:space="preserve">II.   Grants Released to SAUs and </t>
  </si>
  <si>
    <t>a)      Govt. Grant</t>
  </si>
  <si>
    <t xml:space="preserve">other non  ICAR institutions </t>
  </si>
  <si>
    <t>against funds for various projects</t>
  </si>
  <si>
    <t>b)      NAHEP</t>
  </si>
  <si>
    <t>b)    Own funds</t>
  </si>
  <si>
    <t>a) Purchase of Fixed Assets</t>
  </si>
  <si>
    <t>b) Capital Advances</t>
  </si>
  <si>
    <t>c) Work in  Progress</t>
  </si>
  <si>
    <t>V.  Repayment of un- utilized  Grants/Loans/Borrowings/Grants Lapsed</t>
  </si>
  <si>
    <t xml:space="preserve">a)      Current Year                                     </t>
  </si>
  <si>
    <t xml:space="preserve">b)      Previous Year                                    </t>
  </si>
  <si>
    <t>VI.  Deposits and Advances</t>
  </si>
  <si>
    <t xml:space="preserve">   a) Security /EMD Deposit </t>
  </si>
  <si>
    <t xml:space="preserve">   b) Recoveries from P- Loan &amp; Advances</t>
  </si>
  <si>
    <t xml:space="preserve">   b) Payments  of P- Loan &amp; Advances</t>
  </si>
  <si>
    <t xml:space="preserve">   c) Recoveries of S. Advances</t>
  </si>
  <si>
    <t xml:space="preserve">   d) Loans &amp; Borrowing</t>
  </si>
  <si>
    <t xml:space="preserve">   e) ICAR General Provident Fund</t>
  </si>
  <si>
    <t xml:space="preserve">   f) NPS (Employee contribution )</t>
  </si>
  <si>
    <t xml:space="preserve">   g) U -Remittances-I </t>
  </si>
  <si>
    <t xml:space="preserve">   h) Consultancy / Contract Research</t>
  </si>
  <si>
    <t xml:space="preserve">   i) Revolving funds  </t>
  </si>
  <si>
    <t xml:space="preserve">   j) Maturity of Investments</t>
  </si>
  <si>
    <t xml:space="preserve">   j) Investments</t>
  </si>
  <si>
    <t xml:space="preserve">   k) Endowment Fund</t>
  </si>
  <si>
    <t xml:space="preserve">   l) Earmarked Fund</t>
  </si>
  <si>
    <t xml:space="preserve">   m) Deposit  Schemes Receipts</t>
  </si>
  <si>
    <t xml:space="preserve">   m) Deposit  Schemes Payments</t>
  </si>
  <si>
    <t xml:space="preserve">             i) Capital</t>
  </si>
  <si>
    <t xml:space="preserve">             ii) Revenue</t>
  </si>
  <si>
    <t xml:space="preserve">             iii) Amount lapsed under Deposit Scheme</t>
  </si>
  <si>
    <t>n)IRGS</t>
  </si>
  <si>
    <t>VII.  Other payments</t>
  </si>
  <si>
    <t xml:space="preserve">   a- Income from Sales / Services</t>
  </si>
  <si>
    <t xml:space="preserve">   b- Fees/ Subscription</t>
  </si>
  <si>
    <t xml:space="preserve">a) Miscellaneous Expenses </t>
  </si>
  <si>
    <t xml:space="preserve">   c- Income from Royalty, Publications etc.</t>
  </si>
  <si>
    <t xml:space="preserve">   d- Prior Period Income</t>
  </si>
  <si>
    <t xml:space="preserve">   e - Revolving Fund Receipts</t>
  </si>
  <si>
    <t xml:space="preserve">   f- Unspent balance of grants of previous years</t>
  </si>
  <si>
    <t xml:space="preserve">Revenue Resources -                                       </t>
  </si>
  <si>
    <t xml:space="preserve">   g- Other Income</t>
  </si>
  <si>
    <t>b) Prior Period Expenditure from Govt. Grant</t>
  </si>
  <si>
    <t>c) Refund - Revenue, Loans &amp; Adv.Recoveries etc.</t>
  </si>
  <si>
    <t>d) Revolving Fund Expenditure</t>
  </si>
  <si>
    <t>VIII. Misc. Payments</t>
  </si>
  <si>
    <t>a)     Misc. Payments</t>
  </si>
  <si>
    <t xml:space="preserve">b)    Releases to ICAR units                             </t>
  </si>
  <si>
    <t xml:space="preserve">    c)     Swachh Bharat Mission Expenditure</t>
  </si>
  <si>
    <t>IX.  Grants Lapsed in TSA during Current Year</t>
  </si>
  <si>
    <t>X.  Closing Balances</t>
  </si>
  <si>
    <t>- Council's share of Revenue Resources</t>
  </si>
  <si>
    <t>a)  Cash in hand</t>
  </si>
  <si>
    <t>b)  Bank Balances</t>
  </si>
  <si>
    <t>· in current Accounts (Institute)</t>
  </si>
  <si>
    <t>· in current Accounts (NAHEP)</t>
  </si>
  <si>
    <t>- in Deposit Accounts</t>
  </si>
  <si>
    <t>- in Savings Account</t>
  </si>
  <si>
    <t>c)   In transit</t>
  </si>
  <si>
    <t>Receipts and Payments Account for the year 2022-23 (Old format)</t>
  </si>
  <si>
    <t>RECEIPTS</t>
  </si>
  <si>
    <t>PAYMENTS</t>
  </si>
  <si>
    <t>S. No.</t>
  </si>
  <si>
    <t>Govt. Grant (Annex. B)</t>
  </si>
  <si>
    <t>Cash in hand</t>
  </si>
  <si>
    <t>Bank Balance</t>
  </si>
  <si>
    <t xml:space="preserve">    in Current Accounts( Institute)</t>
  </si>
  <si>
    <t xml:space="preserve">    in Current Accounts( NAHEP)</t>
  </si>
  <si>
    <t>Short Term Deposit</t>
  </si>
  <si>
    <t>Amount in Transit</t>
  </si>
  <si>
    <t>Govt. Grants</t>
  </si>
  <si>
    <t>2(a)</t>
  </si>
  <si>
    <t>Govt. Grant schemes including NAHEP (Annex. C)</t>
  </si>
  <si>
    <t>2(b)</t>
  </si>
  <si>
    <t>Govt. Grant Non-Schemes  (Annex. D)</t>
  </si>
  <si>
    <t>Revolving Fund Schemes</t>
  </si>
  <si>
    <t>Other Receipts</t>
  </si>
  <si>
    <t>Funded Debts</t>
  </si>
  <si>
    <t>(Annexure A)</t>
  </si>
  <si>
    <t>I.R.G.S.</t>
  </si>
  <si>
    <t>Deposits</t>
  </si>
  <si>
    <t>Loans &amp; Advances</t>
  </si>
  <si>
    <t>Pension &amp; Retirement Benefits</t>
  </si>
  <si>
    <t>Non-interest bearing Advances</t>
  </si>
  <si>
    <t>Remittances-I</t>
  </si>
  <si>
    <t>Remittances-II</t>
  </si>
  <si>
    <t>(Recoveries to be made)</t>
  </si>
  <si>
    <t>Grants Lapsed in TSA during Current Year</t>
  </si>
  <si>
    <t>(Refunds from Institutes)</t>
  </si>
  <si>
    <t xml:space="preserve">    in  savings account(Ex.Fund)</t>
  </si>
  <si>
    <t>ANNEXURE- 'A'</t>
  </si>
  <si>
    <t xml:space="preserve"> ABSTRACT OF 'OTHER RECEIPTS' FOR THE YEAR 2022-23</t>
  </si>
  <si>
    <t>(Amount in Rs.)</t>
  </si>
  <si>
    <t>S.NO</t>
  </si>
  <si>
    <t>HEAD OF ACCOUNT</t>
  </si>
  <si>
    <t>AMOUNT</t>
  </si>
  <si>
    <t>Sale of farm produce</t>
  </si>
  <si>
    <t>Sale of fish &amp; poultry</t>
  </si>
  <si>
    <t>3</t>
  </si>
  <si>
    <t>Sale of land</t>
  </si>
  <si>
    <t>4</t>
  </si>
  <si>
    <t>Sale of building</t>
  </si>
  <si>
    <t>5</t>
  </si>
  <si>
    <t>Sale of vehicle, other machine tools</t>
  </si>
  <si>
    <t>6</t>
  </si>
  <si>
    <t>Sale of livestock</t>
  </si>
  <si>
    <t>7</t>
  </si>
  <si>
    <t>Sale of publication and advertisement</t>
  </si>
  <si>
    <t>8</t>
  </si>
  <si>
    <t>Licence fee</t>
  </si>
  <si>
    <t>9</t>
  </si>
  <si>
    <t>Interest earned on loans &amp; advances</t>
  </si>
  <si>
    <t>10</t>
  </si>
  <si>
    <t>Leave salary and pension contribution</t>
  </si>
  <si>
    <t>11</t>
  </si>
  <si>
    <t>Receipts from schemes</t>
  </si>
  <si>
    <t>12</t>
  </si>
  <si>
    <t>Analytical and testing fee</t>
  </si>
  <si>
    <t>13</t>
  </si>
  <si>
    <t>Pre-Shipment fee</t>
  </si>
  <si>
    <t>14</t>
  </si>
  <si>
    <t>Application fee from candidates</t>
  </si>
  <si>
    <t>15</t>
  </si>
  <si>
    <t>Diploma Charges</t>
  </si>
  <si>
    <t>16</t>
  </si>
  <si>
    <t>Receipts from services rendered</t>
  </si>
  <si>
    <t>17</t>
  </si>
  <si>
    <t>Unspent balance of Grants of previous years :-</t>
  </si>
  <si>
    <t xml:space="preserve">       (i) Unspent amount refunded by the institute </t>
  </si>
  <si>
    <t xml:space="preserve">      (ii) Unspent amount refunded by SAUs/KVKs</t>
  </si>
  <si>
    <t>18</t>
  </si>
  <si>
    <t>Interest earned on short term deposits</t>
  </si>
  <si>
    <t>19</t>
  </si>
  <si>
    <t>Income generated from Internal Resource Generation Schemes</t>
  </si>
  <si>
    <t>a) Training</t>
  </si>
  <si>
    <t>b) Consulatancy</t>
  </si>
  <si>
    <t>c) Contract Research</t>
  </si>
  <si>
    <t>d) Sale of technology</t>
  </si>
  <si>
    <t>e) Other (Specify the source)</t>
  </si>
  <si>
    <t>20</t>
  </si>
  <si>
    <t>Net profit in Revolving funds</t>
  </si>
  <si>
    <t>21</t>
  </si>
  <si>
    <t>Recoveries of Loans &amp; Advances</t>
  </si>
  <si>
    <t>22</t>
  </si>
  <si>
    <t>Miscellaneous Receipts</t>
  </si>
  <si>
    <t>TOTAL :  OTHER RECEIPTS</t>
  </si>
  <si>
    <t xml:space="preserve">   Sr. Comptroller/Comptroller/CF&amp;AO/SF&amp;AO/F&amp;AO/AF&amp;AO</t>
  </si>
  <si>
    <t xml:space="preserve">                                                                                                                                                                                 Annexure-B </t>
  </si>
  <si>
    <t>Details of Institute Govt. Grant expenditure for the year 2022-23</t>
  </si>
  <si>
    <t>(Rs in Actuals)</t>
  </si>
  <si>
    <t xml:space="preserve">S. No. </t>
  </si>
  <si>
    <t>Allocation Govt.Grant 2022-23</t>
  </si>
  <si>
    <t>Allocation Internal Resource + Additional amount provided by HQ out of Council's share(2022-23)</t>
  </si>
  <si>
    <t>TOTAL ALLOCATION 2022-23</t>
  </si>
  <si>
    <t>Expenditure (Govt.Grant) 2022-23</t>
  </si>
  <si>
    <t>Expenditure(Revenue Generation)2022-23</t>
  </si>
  <si>
    <t>TOTAL EXPENDITURE 2022-23</t>
  </si>
  <si>
    <t>5 (3 + 4)</t>
  </si>
  <si>
    <t>8 (6 + 7)</t>
  </si>
  <si>
    <t>Other than NEH &amp; TSP</t>
  </si>
  <si>
    <t>A. Land</t>
  </si>
  <si>
    <t>B. Building</t>
  </si>
  <si>
    <t xml:space="preserve">    i.   Office building</t>
  </si>
  <si>
    <t xml:space="preserve">    ii.  Residential building</t>
  </si>
  <si>
    <t xml:space="preserve">    iii. Minor Works</t>
  </si>
  <si>
    <t>Equipments</t>
  </si>
  <si>
    <t>Information Technology</t>
  </si>
  <si>
    <t>Library Books and Journals</t>
  </si>
  <si>
    <t>Vehicles &amp; Vessels</t>
  </si>
  <si>
    <t>Livestock</t>
  </si>
  <si>
    <t>Furniture &amp; fixtures</t>
  </si>
  <si>
    <t xml:space="preserve">Total – CAPITAL                                                       (Grants for creation of Capital Assets) </t>
  </si>
  <si>
    <t>Establishment Expenses(Salaries)</t>
  </si>
  <si>
    <t>i. Establishment Charges</t>
  </si>
  <si>
    <t>ii. Wages</t>
  </si>
  <si>
    <t>iii. Overtime Allowance</t>
  </si>
  <si>
    <t>Total – Establishment Expenses                                     (Grant in Aid - Salaries)</t>
  </si>
  <si>
    <t>Pension &amp; Other Retirement Benefits</t>
  </si>
  <si>
    <t>T.A.</t>
  </si>
  <si>
    <t>A. Domestic TA / Transfer TA</t>
  </si>
  <si>
    <t>B. Foreign TA</t>
  </si>
  <si>
    <t>Total – Traveling Allowance</t>
  </si>
  <si>
    <t>Research &amp; Operatinal Expenses</t>
  </si>
  <si>
    <t xml:space="preserve">A. Research Expenses </t>
  </si>
  <si>
    <t>B. Operational Expenses</t>
  </si>
  <si>
    <t xml:space="preserve">Total - Research &amp; Operational Expenses  </t>
  </si>
  <si>
    <t>Administrative Expenses</t>
  </si>
  <si>
    <t>C.Repair &amp; Maintenance</t>
  </si>
  <si>
    <t>i. Equipments,Vehicles &amp; Others</t>
  </si>
  <si>
    <t>ii. Office building</t>
  </si>
  <si>
    <t>iii.Residential building</t>
  </si>
  <si>
    <t>iv. Minor Works</t>
  </si>
  <si>
    <t>D. Others (excluding TA)</t>
  </si>
  <si>
    <t xml:space="preserve">Total - Administrative Expenses </t>
  </si>
  <si>
    <t>Miscellaneous Expenses</t>
  </si>
  <si>
    <t>A. HRD</t>
  </si>
  <si>
    <t>B. Other Items (Fellowships, Scholarships etc.)</t>
  </si>
  <si>
    <t>C. Publicity &amp; Exhibitions</t>
  </si>
  <si>
    <t>D. Guest House – Maintenance</t>
  </si>
  <si>
    <t>E. Other Miscellaneous</t>
  </si>
  <si>
    <t xml:space="preserve">Total - Miscellaneous Expenses </t>
  </si>
  <si>
    <t>Total --Grants in Aid - General</t>
  </si>
  <si>
    <t xml:space="preserve">Grand Total (Capital + Establishment+General) </t>
  </si>
  <si>
    <t xml:space="preserve">  Loans and Advances </t>
  </si>
  <si>
    <t>(Rs. In Lakhs)</t>
  </si>
  <si>
    <t>Swachh Bharat Mission</t>
  </si>
  <si>
    <t>Annexure - 'C'</t>
  </si>
  <si>
    <t>Government Grant Schemes including NAHEP</t>
  </si>
  <si>
    <t>Name of the Scheme/AICRP/ Network Project/ NFBSARA/ NICRA/ IPTM / Summer School/ Winter School/ NAHEP etc.</t>
  </si>
  <si>
    <t>Sl.No. of Scheme as per list of Plan Schemes (Uploaded on website)</t>
  </si>
  <si>
    <t>Opening balance as on 01.04.2022</t>
  </si>
  <si>
    <t>Funds received during     2022-23 from</t>
  </si>
  <si>
    <t>Expenditure incurred during 2022-23</t>
  </si>
  <si>
    <t>Funds lapsed under TSA</t>
  </si>
  <si>
    <t>Refund made during  2022-23 to</t>
  </si>
  <si>
    <t>Closing balance as on 31-3-2023 (4+5+6-10-11-12-13)</t>
  </si>
  <si>
    <t>Funding Agency/ ICAR Hqrs</t>
  </si>
  <si>
    <t>ICAR Units</t>
  </si>
  <si>
    <t>Funds released to ICAR Units during 2022-23</t>
  </si>
  <si>
    <t>Funds released to SAUs/Other thanICAR Units during 2022-23</t>
  </si>
  <si>
    <t>Expenditure incurred by PIU of Institute, if any, during 2022-23</t>
  </si>
  <si>
    <t>Total Expenditure during 2022-23</t>
  </si>
  <si>
    <t>10 (7+8+9)</t>
  </si>
  <si>
    <t>Annexure - 'D'</t>
  </si>
  <si>
    <t>Non - Scheme (1270) Budget Allocation &amp; Expenditure during 2022-23</t>
  </si>
  <si>
    <t>Heads</t>
  </si>
  <si>
    <t>Opening Balance as on 01.04.2022</t>
  </si>
  <si>
    <t>Amount Received</t>
  </si>
  <si>
    <t>Expenditure incurred</t>
  </si>
  <si>
    <t>Amount Refunded</t>
  </si>
  <si>
    <t>Amount Lapsed</t>
  </si>
  <si>
    <t>Closing Balance as on 31.03.2023</t>
  </si>
  <si>
    <t xml:space="preserve">General </t>
  </si>
  <si>
    <t>7(5+6)</t>
  </si>
  <si>
    <t>10(8+9)</t>
  </si>
  <si>
    <t>15(3+5-8-11-13)</t>
  </si>
  <si>
    <t>16(4+6-9-12-14)</t>
  </si>
  <si>
    <t>Disaster Management</t>
  </si>
  <si>
    <t>Publicity &amp; Public Relations</t>
  </si>
  <si>
    <t>Data Repository and ICT</t>
  </si>
  <si>
    <t>Creation &amp; Maintenance of Infrastructure</t>
  </si>
  <si>
    <t>HRM</t>
  </si>
  <si>
    <t>Additional financial Support under Non- Scheme</t>
  </si>
  <si>
    <t>Annexure-E</t>
  </si>
  <si>
    <t>Statement depicting Releases of Funds out of Institute's Main Grants</t>
  </si>
  <si>
    <t>(Amt. in rupees)</t>
  </si>
  <si>
    <t xml:space="preserve">1. Releases to SAUs   </t>
  </si>
  <si>
    <t xml:space="preserve">    (Included in Schedule - 19)</t>
  </si>
  <si>
    <t>2. Releases to ICAR Units</t>
  </si>
  <si>
    <t xml:space="preserve">    (Deducted from Schedule - 9)</t>
  </si>
  <si>
    <t xml:space="preserve">Please note that this annexure intends to capture the release of grants to bodies within or outside ICAR from out of the institute grants which may have outreach programmes or any such schemes included in the same budget. </t>
  </si>
  <si>
    <t>Annexure - F</t>
  </si>
  <si>
    <t>DETAILS OF REMITTANCES RECEIVED FROM ICAR HQRS DURING 2022-23</t>
  </si>
  <si>
    <t>ICAR LETTER NO.</t>
  </si>
  <si>
    <t>SECTION</t>
  </si>
  <si>
    <t>Core/RTGS/ DD/</t>
  </si>
  <si>
    <t xml:space="preserve">DETAILS OF </t>
  </si>
  <si>
    <t xml:space="preserve">MONTH IN WHICH </t>
  </si>
  <si>
    <t>&amp; DATE</t>
  </si>
  <si>
    <t>FROM</t>
  </si>
  <si>
    <t>CHEQUE NO. &amp;</t>
  </si>
  <si>
    <t>REMITTANCES</t>
  </si>
  <si>
    <t>REMITTANCE</t>
  </si>
  <si>
    <t>WHICH</t>
  </si>
  <si>
    <t>DATE</t>
  </si>
  <si>
    <t>UNDER DIFFERENT</t>
  </si>
  <si>
    <t>TAKEN INTO</t>
  </si>
  <si>
    <t>RECEIVED</t>
  </si>
  <si>
    <t>HEADS</t>
  </si>
  <si>
    <t>CASH BOOK</t>
  </si>
  <si>
    <t>BUDGET</t>
  </si>
  <si>
    <t>BANK REMITTANCE</t>
  </si>
  <si>
    <t>Salary &amp; Pension</t>
  </si>
  <si>
    <t>TSA REMITTANCE</t>
  </si>
  <si>
    <t>Contigency</t>
  </si>
  <si>
    <t>NEH-General</t>
  </si>
  <si>
    <t>SCSP-General</t>
  </si>
  <si>
    <t>TSP-General</t>
  </si>
  <si>
    <t>NEH-Capital</t>
  </si>
  <si>
    <t>SCSP-Capital</t>
  </si>
  <si>
    <t>TSP-Capital</t>
  </si>
  <si>
    <t>Inst-Capital</t>
  </si>
  <si>
    <t>salary</t>
  </si>
  <si>
    <t xml:space="preserve">C   </t>
  </si>
  <si>
    <t>Schemes</t>
  </si>
  <si>
    <r>
      <rPr>
        <b/>
        <sz val="12"/>
        <rFont val="Calibri"/>
        <family val="2"/>
        <scheme val="minor"/>
      </rPr>
      <t xml:space="preserve">  </t>
    </r>
    <r>
      <rPr>
        <b/>
        <u/>
        <sz val="12"/>
        <rFont val="Calibri"/>
        <family val="2"/>
      </rPr>
      <t>ANNEXURE - 'G'</t>
    </r>
  </si>
  <si>
    <t>SCHEDULE SHOWING BREAK-UP OF CLOSING BALANCES  AVAILABLE WITH AS ON 31.3.2023</t>
  </si>
  <si>
    <t>SNo</t>
  </si>
  <si>
    <t>NAME OF HEAD OF ACCOUNT</t>
  </si>
  <si>
    <t>OPENING Balance as on 1-4-2022</t>
  </si>
  <si>
    <t>Receipts during 2022-23</t>
  </si>
  <si>
    <t>Expenditure during 2022-23</t>
  </si>
  <si>
    <t>Refund during 
2022-23</t>
  </si>
  <si>
    <t>Grant Lapsed under TSA</t>
  </si>
  <si>
    <t>Closing Balance as on 31-3-2023</t>
  </si>
  <si>
    <t>3(1+2)</t>
  </si>
  <si>
    <t>7(3-4-5-6)</t>
  </si>
  <si>
    <t xml:space="preserve">A) Institute </t>
  </si>
  <si>
    <t xml:space="preserve">                    (i) Scheme</t>
  </si>
  <si>
    <t xml:space="preserve">                    (ii) Non-Scheme</t>
  </si>
  <si>
    <t>B)Schemes of ICAR</t>
  </si>
  <si>
    <t>F)            TOTAL (A + B)</t>
  </si>
  <si>
    <t>Internal Revenue Generation</t>
  </si>
  <si>
    <t>a) Additional Amount provided by HQ out of Council's Share</t>
  </si>
  <si>
    <t>b) Revenue Receipts (Internal Resource Generation)</t>
  </si>
  <si>
    <t>c) Interest on S.T.D</t>
  </si>
  <si>
    <t>d) Loans and Advances (Recovery &amp;Payments)</t>
  </si>
  <si>
    <t>Total (a+b+c+d)</t>
  </si>
  <si>
    <t>A.P Cess Fund Schemes</t>
  </si>
  <si>
    <t>GPF</t>
  </si>
  <si>
    <t>A)Sponsored Projects (Deposit Schemes)/ Externally Aided projects</t>
  </si>
  <si>
    <t>B) Earmarked/Endownment Funds</t>
  </si>
  <si>
    <t>C) I.R.G Schemes (Consultancy/Contract Research etc.)</t>
  </si>
  <si>
    <t>D) EMD/Security Deposits</t>
  </si>
  <si>
    <t>Remittances-I (Recoveries)</t>
  </si>
  <si>
    <t>Non Interest Bearing Advances ('S' Advances)</t>
  </si>
  <si>
    <t>Cash in Hand (Imprest)</t>
  </si>
  <si>
    <t xml:space="preserve">GRAND TOTAL </t>
  </si>
  <si>
    <t>(A) TSA Cash Book</t>
  </si>
  <si>
    <t xml:space="preserve">Amount </t>
  </si>
  <si>
    <t>A1</t>
  </si>
  <si>
    <t>Opening balance as per TSA Cashbook</t>
  </si>
  <si>
    <t>A2</t>
  </si>
  <si>
    <t>Assignment Limit received during the month and entered in TSA Cash Book</t>
  </si>
  <si>
    <t>A3</t>
  </si>
  <si>
    <t>Total assignment limit available during the month as per TSA Cash Book(A1+A2)</t>
  </si>
  <si>
    <t>A4</t>
  </si>
  <si>
    <t>Payment entered in the TSA Cash Book</t>
  </si>
  <si>
    <t>A5</t>
  </si>
  <si>
    <t>Closing Balance at the end of the month in the TSA Cashbook  (A3-A4)</t>
  </si>
  <si>
    <t>A6</t>
  </si>
  <si>
    <t xml:space="preserve">Payments entered in the TSA Cash Book but not shown in RBI Statement </t>
  </si>
  <si>
    <t>(A) RBI Statement</t>
  </si>
  <si>
    <t>B1</t>
  </si>
  <si>
    <t>Opening balance of Assignment Limit as per RBI statement</t>
  </si>
  <si>
    <t>B2</t>
  </si>
  <si>
    <t>Additional Assignment Limit received during the month as per RBI statement</t>
  </si>
  <si>
    <t>B3</t>
  </si>
  <si>
    <t>Total Assignment limit available during the month in the RBI Statement (B1+B2)</t>
  </si>
  <si>
    <t>B4</t>
  </si>
  <si>
    <t>Total Payment during the month as per RBI Statement</t>
  </si>
  <si>
    <t>B5</t>
  </si>
  <si>
    <t>Closing balance of assignment limit in the RBI statement (B3-B4)</t>
  </si>
  <si>
    <t>B6</t>
  </si>
  <si>
    <t xml:space="preserve">Payment shown in RBI Statement but not taken in the TSA Cash Book </t>
  </si>
  <si>
    <t>C1</t>
  </si>
  <si>
    <r>
      <rPr>
        <sz val="12"/>
        <color theme="1"/>
        <rFont val="Times New Roman"/>
        <family val="1"/>
      </rPr>
      <t>Difference if any of the 1</t>
    </r>
    <r>
      <rPr>
        <vertAlign val="superscript"/>
        <sz val="12"/>
        <color theme="1"/>
        <rFont val="Times New Roman"/>
        <family val="1"/>
      </rPr>
      <t>st</t>
    </r>
    <r>
      <rPr>
        <sz val="12"/>
        <color theme="1"/>
        <rFont val="Times New Roman"/>
        <family val="1"/>
      </rPr>
      <t xml:space="preserve"> of the month (A1-B1)</t>
    </r>
  </si>
  <si>
    <t>C2</t>
  </si>
  <si>
    <t xml:space="preserve">Difference if any at the end of the month (A5-B5) </t>
  </si>
  <si>
    <t>NOTES</t>
  </si>
  <si>
    <t xml:space="preserve">A6: Payments which has been entered in the TSA Cashbook after applying DSC-2, but the amount is not debited in the Statement of Accounts received in ‘e-Kuber’ may be reflected under A-6. These transactions should be closely watched for reconciliation. </t>
  </si>
  <si>
    <t>B6: Payment shown in RBI Statement of Account but not taken in the TSA Cash Book may be shown in B6 and this should closely be watched and reconciled.</t>
  </si>
  <si>
    <t>C1: There must not be any difference under this column. In case of a difference, the same should be traced out at the beginning of the month.</t>
  </si>
  <si>
    <t>C2: There must not be any difference under this column. In case of a difference, the same should be traced out at the end of the month.</t>
  </si>
  <si>
    <t>Certified that the above figures have been checked and verified from the RBI e-Kuber Statement and Assignment Limit.</t>
  </si>
  <si>
    <t>Annexure-I</t>
  </si>
  <si>
    <t>Details of Payment entered in the TSA Cash Book but not shown in RBI Statement</t>
  </si>
  <si>
    <t>Date of Transaction in RBI Statement</t>
  </si>
  <si>
    <t>Particulars of Payments</t>
  </si>
  <si>
    <t>Annexure-II</t>
  </si>
  <si>
    <t>Details of Payment shown in RBI Statement but not taken in the TSA Cash Book</t>
  </si>
  <si>
    <t>BRS</t>
  </si>
  <si>
    <t>Item</t>
  </si>
  <si>
    <t>Balance as per Cash Book</t>
  </si>
  <si>
    <t>Uncashed Cheques (Annexure-I)</t>
  </si>
  <si>
    <t>Debits raised by Bank but not taken in Cash Book(Annexure-II)</t>
  </si>
  <si>
    <t>Amount/Cheque deposited in Bank but not Credited by the Bank(Annex.III)</t>
  </si>
  <si>
    <t>Amount Credited by Bank but not taken  in Cash Book(Annex.IV)</t>
  </si>
  <si>
    <t>Balance as per Bank Statement</t>
  </si>
  <si>
    <t>Difference</t>
  </si>
  <si>
    <t>Annexure -I</t>
  </si>
  <si>
    <t>Details of Uncashed Cheques</t>
  </si>
  <si>
    <t>Cheque No./PFMS</t>
  </si>
  <si>
    <t>Date</t>
  </si>
  <si>
    <t>Annexure -II</t>
  </si>
  <si>
    <t>Details of Debits raised by bank but not taken in Cash Book</t>
  </si>
  <si>
    <t>Details</t>
  </si>
  <si>
    <t>Annexure -III</t>
  </si>
  <si>
    <t>Details of Cheque/Amount deposite in bank but not credited by the bank</t>
  </si>
  <si>
    <t>Annexure -IV</t>
  </si>
  <si>
    <t>Details of Amount credited by bank but not taken in Cash book</t>
  </si>
  <si>
    <t>Worksheet - Statement showing Adjustment on Expenses indicated in Income &amp; Expenditure Account</t>
  </si>
  <si>
    <t>Payments as per Receipt &amp; Payment A/c***</t>
  </si>
  <si>
    <t>Additions to Expenses</t>
  </si>
  <si>
    <t>Reductions to Expenditure</t>
  </si>
  <si>
    <t>Net to Income &amp; Expenditure Account</t>
  </si>
  <si>
    <t>Schedule No.16 - Establishment Expenses</t>
  </si>
  <si>
    <t>Salary, Wages and Allowances</t>
  </si>
  <si>
    <t>Other Advance,if any: Medical</t>
  </si>
  <si>
    <t>Contribution to GPF/NPS</t>
  </si>
  <si>
    <t>Retirement and Terminal Benefits</t>
  </si>
  <si>
    <t>Schedule No.17  Research and Operational Expenses</t>
  </si>
  <si>
    <t>Chemicals</t>
  </si>
  <si>
    <t>Glassware and Plasticware</t>
  </si>
  <si>
    <t>Other consumables</t>
  </si>
  <si>
    <t>Seeds, Planting Material</t>
  </si>
  <si>
    <t>Animals for Research</t>
  </si>
  <si>
    <t>Computer Hire/Internet Connectivity Charges</t>
  </si>
  <si>
    <t>Feeding and Upkeep of Animals</t>
  </si>
  <si>
    <t>Farm Lab Expenses</t>
  </si>
  <si>
    <t xml:space="preserve">Other Research Expenses </t>
  </si>
  <si>
    <t>Schedule No.18 Administrative Expenses</t>
  </si>
  <si>
    <t>Rent, Rates and Taxes</t>
  </si>
  <si>
    <t>Electricity Charges</t>
  </si>
  <si>
    <t>Water Charges</t>
  </si>
  <si>
    <t>Security &amp; Housekeeping</t>
  </si>
  <si>
    <t>Vehicle Running Expenses</t>
  </si>
  <si>
    <t>Insurance</t>
  </si>
  <si>
    <t>Postage, Telegram and Courier Charges</t>
  </si>
  <si>
    <t>Telephone and Fax</t>
  </si>
  <si>
    <t>Buildings and Surroundings</t>
  </si>
  <si>
    <t>Plant Machinery</t>
  </si>
  <si>
    <t>Furniture fixtures &amp; Fittings</t>
  </si>
  <si>
    <t>Office Equipment</t>
  </si>
  <si>
    <t>Computers</t>
  </si>
  <si>
    <t>Scientific Equipment</t>
  </si>
  <si>
    <t>Printing and Stationery Charges</t>
  </si>
  <si>
    <t>Legal &amp; professional charges</t>
  </si>
  <si>
    <t>Travel and Conveyance - Domestic</t>
  </si>
  <si>
    <t>Advertisement and  Publicity</t>
  </si>
  <si>
    <t>Hospitality and Refreshment</t>
  </si>
  <si>
    <t>Bank Charges</t>
  </si>
  <si>
    <t>Meeting Expenses</t>
  </si>
  <si>
    <t>T/A to Non-officials</t>
  </si>
  <si>
    <t>Other Miscellaneous Charges</t>
  </si>
  <si>
    <t>Schedule No.20 Miscellaneous Expenses</t>
  </si>
  <si>
    <t>Publicity and exhibitions</t>
  </si>
  <si>
    <t>Guest House</t>
  </si>
  <si>
    <t>HRD</t>
  </si>
  <si>
    <t>E</t>
  </si>
  <si>
    <t>Schedule No.19 Grants released to SAUs etc.</t>
  </si>
  <si>
    <t>Other</t>
  </si>
  <si>
    <t>GRAND TOTAL (A+B+C+D+E)</t>
  </si>
  <si>
    <t>*** The Grand Total here matches with the figure shown in Schedule 9A+9B (Total Revenue Expenditure)</t>
  </si>
  <si>
    <t>Assets (excluding R-Deposit)</t>
  </si>
  <si>
    <t>GrandTotal</t>
  </si>
  <si>
    <t>Worksheet - Statement showing Adjustment on Income indicated in Income &amp; Expenditure Account</t>
  </si>
  <si>
    <t>Payments as per Receipt &amp; Payment A/c</t>
  </si>
  <si>
    <t>Additions to Income</t>
  </si>
  <si>
    <t>Reductions to Income</t>
  </si>
  <si>
    <t>Schedule No.8 - Income from Sales &amp; Service</t>
  </si>
  <si>
    <t>Sale of Fish/Poultry</t>
  </si>
  <si>
    <t>Income from Services</t>
  </si>
  <si>
    <t>Schedule No.10 - Income from Fees Subscriptions</t>
  </si>
  <si>
    <t>Fees</t>
  </si>
  <si>
    <t>Schedule No.13 - Interest Earned</t>
  </si>
  <si>
    <t>Interest on P Loans</t>
  </si>
  <si>
    <t>Interest on STDR</t>
  </si>
  <si>
    <t>Schedule No.14  - Other Income</t>
  </si>
  <si>
    <t>LS&amp;PC</t>
  </si>
  <si>
    <t>Misc Receipts</t>
  </si>
  <si>
    <t>Recoveries Loans</t>
  </si>
  <si>
    <t>Grand Total</t>
  </si>
  <si>
    <t>Worksheet 1: Outstanding Liabilities</t>
  </si>
  <si>
    <t>Details of amount of outstanding liabilities shown in Schedule-4 is provided below:-</t>
  </si>
  <si>
    <t>Worksheet 2: Prepaid Advances</t>
  </si>
  <si>
    <t>Details of all Capital and Revenue Advances shown in Sch-7B is provided below:-</t>
  </si>
  <si>
    <t>a.</t>
  </si>
  <si>
    <t>b.</t>
  </si>
  <si>
    <t>c.</t>
  </si>
  <si>
    <t>MEDICAL</t>
  </si>
  <si>
    <t>d.</t>
  </si>
  <si>
    <t>CPWD CAPITAL ADVANCE</t>
  </si>
  <si>
    <t>e.</t>
  </si>
  <si>
    <t>CPWD REVENUE &amp; ADVANCE</t>
  </si>
  <si>
    <t>f.</t>
  </si>
  <si>
    <t>OTHER</t>
  </si>
  <si>
    <t>Worksheet 3: EMD/ Security Deposits</t>
  </si>
  <si>
    <t>Details of amount of EMD / Security Deposit shown in Schedule-4 is provided below:-</t>
  </si>
  <si>
    <t>Worksheet 4: U-Remittances</t>
  </si>
  <si>
    <t>Details of closing balances of U-Remittances show in Annex. ‘G’/ Sch-4 is provided below:-</t>
  </si>
  <si>
    <t>Worksheet 5: Imprest / Cash-in-hand</t>
  </si>
  <si>
    <t>List of  holders of imprest/ cash in hand shown in Annex-G / R&amp;P Account/ Sch-7 is provided below:-</t>
  </si>
  <si>
    <t>Worksheet 6: Closing Stock</t>
  </si>
  <si>
    <t>Details of amount of Closing stock shown in Schedule-7 is provided below:-</t>
  </si>
  <si>
    <t>State Bank of India</t>
  </si>
  <si>
    <t>8.3.2022</t>
  </si>
  <si>
    <t>1.3.2021</t>
  </si>
  <si>
    <t>08.12.2022</t>
  </si>
  <si>
    <t>01.12.2022</t>
  </si>
  <si>
    <t>04.11.22</t>
  </si>
  <si>
    <t>12.09.22</t>
  </si>
  <si>
    <t>22.07.22</t>
  </si>
  <si>
    <t>25.08.2020</t>
  </si>
  <si>
    <t>28.08.2020</t>
  </si>
  <si>
    <t>01.02.2021</t>
  </si>
  <si>
    <t>02.03.2021</t>
  </si>
  <si>
    <t>28.02.23</t>
  </si>
  <si>
    <t>17.05.22</t>
  </si>
  <si>
    <t>19.05.22</t>
  </si>
  <si>
    <t>03.06.22</t>
  </si>
  <si>
    <t>27.06.22</t>
  </si>
  <si>
    <t>04.07.22</t>
  </si>
  <si>
    <t>11.07.22</t>
  </si>
  <si>
    <t>20.08.22</t>
  </si>
  <si>
    <t>15.09.22</t>
  </si>
  <si>
    <t>26.10.22</t>
  </si>
  <si>
    <t>07.11.22</t>
  </si>
  <si>
    <t>15.11.22</t>
  </si>
  <si>
    <t>06.12.22</t>
  </si>
  <si>
    <t>22.12.22</t>
  </si>
  <si>
    <t>16.01.23</t>
  </si>
  <si>
    <t>17.01.23</t>
  </si>
  <si>
    <t>20.01.23</t>
  </si>
  <si>
    <t>27.01.23</t>
  </si>
  <si>
    <t>01.02.23</t>
  </si>
  <si>
    <t>10.02.23</t>
  </si>
  <si>
    <t>12.02.23</t>
  </si>
  <si>
    <t>15.02.23</t>
  </si>
  <si>
    <t>16.02.23</t>
  </si>
  <si>
    <t>22.02.23</t>
  </si>
  <si>
    <t>01.03.23</t>
  </si>
  <si>
    <t>02.03.23</t>
  </si>
  <si>
    <t>03.03.23</t>
  </si>
  <si>
    <t>06.03.23</t>
  </si>
  <si>
    <t>09.03.23</t>
  </si>
  <si>
    <t>10.03.23</t>
  </si>
  <si>
    <t>14.03.23</t>
  </si>
  <si>
    <t>15.03.23</t>
  </si>
  <si>
    <t>22.03.23</t>
  </si>
  <si>
    <t>27.03.23</t>
  </si>
  <si>
    <t>28.03.23</t>
  </si>
  <si>
    <t>30.03.23</t>
  </si>
  <si>
    <t>31.03.23</t>
  </si>
  <si>
    <t>Payment of Electricity Charges</t>
  </si>
  <si>
    <t xml:space="preserve">Payment of Water Charges </t>
  </si>
  <si>
    <t xml:space="preserve">Payment for Security /Watch &amp; Ward </t>
  </si>
  <si>
    <t>Payment for Telephone &amp; Internet Charges</t>
  </si>
  <si>
    <t>Payment for contract staff under skilled, unskilled &amp; semiskilled category</t>
  </si>
  <si>
    <t>Payment of salary of staff for the month of March 2023</t>
  </si>
  <si>
    <t>POL</t>
  </si>
  <si>
    <t xml:space="preserve">TA adv to Dr.U Sreedhar,PS SIC Vizag to attending training program NEH Arunachal Pradesh vide.S.no.12-15/CIFT(VSP)22-23/NEH dtd 03.01.2023 </t>
  </si>
  <si>
    <t xml:space="preserve">TA adv .to Dr.U Sreedhar ,PS&amp;SIC Vizag to attending training program NEH Gangtok,Sikkim  S.No.12-15/CIFT(VSP)/22-23/NEH dtd 03.01.2023 </t>
  </si>
  <si>
    <t xml:space="preserve">TA adv .to Dr.Viji P,Sr.scientist  Vizag to attending training program NEH Gangtok,Sikkim  S.No.12-15/CIFT(VSP)/22-23/NEH dtd 03.01.2023 </t>
  </si>
  <si>
    <t>TA Adv to Shri Nobi P.S/ in c/w his tour to Mumbai from 30.03.23 to 01.04.23</t>
  </si>
  <si>
    <t xml:space="preserve">TA adv to Dr.A Suresh, PS under network project in c/w his tour to Chennai from 10.04.2023 to 13.04.2024 to contract survey and group discussion on fish processing vide.S.no.8-1/22-23/Bills dtd 30.03.2023 </t>
  </si>
  <si>
    <t xml:space="preserve">LTC advance in r/o Shankar P,ACTO to availing LTC for the block year 2018-2021(GP)to visit jaisalmer,Rajasthan </t>
  </si>
  <si>
    <t>LTC adv. Shri.R.D Goswami ,PS to visit Home town Junagadh,Gujarat for the period 2018-2021(2022GP)</t>
  </si>
  <si>
    <t>LTC advance Shri.Gori Sankar Sahoo,UDC availing LTC for the block year 2022-2025 to visit Balangir (Odisha)</t>
  </si>
  <si>
    <t xml:space="preserve">LTC advance Shri.Siddique VK,T.O avaling LTC for the block year 2018-21(2022GP) to visit Gangtok,Sikkim </t>
  </si>
  <si>
    <t>LTC advance Shri. G kamei,scientist avaling LTC for the block year 2023 (HT) every year to visit Imphal,Manipur</t>
  </si>
  <si>
    <t>LTC advance Shri.P V sajeevan T.O availing LTC for the block year 2022-2025(all india) to visit Jaipur,Rajasthan</t>
  </si>
  <si>
    <t>LTC advance Smt.Shiji John ,Assistant avaling LTC for the block year 2022-2025(all india) to visit Jaipur,Rajasthan</t>
  </si>
  <si>
    <t>LTC advance Dr.renuka V sr.scientist availng LTC for the block year 2018-21(2023 GP)  to visit  somanath,Gujarat</t>
  </si>
  <si>
    <t xml:space="preserve">LTC advance in r/o Dr.Dileep kumar VN,T.o to availing  Ltc for the block year 2022-2025(All india) to visit srrenagar S.No.3-2/2023 bills dtd 20.03.2023 </t>
  </si>
  <si>
    <t>LTC advance in r/o Smt.Akhila N R ,Asst to availing LTC for the block year 2022-25(All india) to visit Sreenagar S.No. 3-3/2023/bills dtd 20.03.2023</t>
  </si>
  <si>
    <t>LTC advance Dr.Bindu J pr.scientist availing LTC for the block year 2018-2021 (2022 GP) to visit Dwaraka</t>
  </si>
  <si>
    <t xml:space="preserve"> Medical advance to Shri.K K Makwana,SSS Veraval RC of CIFT to meet the expenditure I c/w medical treatment of self at Kalp Hospital vide.S.No.4-4/2022-vrlc dtd 09.03.2023 </t>
  </si>
  <si>
    <t>medical adv to Pulikkal medical foundation,Ernakulam to meet the expenditure in c/w medical treatment of Mrs.Janvi Dev Aroskar w/o Dev Umesh Aroskar,UDC vide.S.No.6-1/2021/bills dtd 18.03.2023</t>
  </si>
  <si>
    <t>Medical adv to M/s Asterom healthcare ltd(m/s Aster medicity hospital Ekm) to meet the expenditure in c/w medical treatment of his daughter Kum.Shivani D, 14 years  daughter of Shri.Vinod G Tech Ast. Vide.S.No.6-3/2022-23/bills dtd 23.03.2023</t>
  </si>
  <si>
    <t>medical advance to Aster Dm health care ltd(m/s Aster medicity hospital Ekm) to meet the expenditure in c/w medical treatment of his daughter Kum.Shivani D, 14 years  daughter of Shri.Vinod G Tech Ast.  Vide.S.no.6-3/2023-24/bills dtd 28.03.2023</t>
  </si>
  <si>
    <t>Re- carpeting of internal Roads at CIFT Quarters Type 1 &amp; 2,S.o.No.1-6/2021/Cdn Dt.01.12.21</t>
  </si>
  <si>
    <t>Renovation of net fabrication hall of CIFT HQ,cochin(Disaster&amp;Emergency fund)Electrical work.vide S.NO.1-3/2022-cdn dtd 21.03.22</t>
  </si>
  <si>
    <t>Renovation of net fabrication hall of CIFT HQ,cochin(Disaster&amp;Emergency fund)Civil Work work.vide S.NO.1-3/2022-cdn dtd 21.03.22</t>
  </si>
  <si>
    <t>conversion of Ground floor &amp; first floor balcony to toilets,internal &amp; external painting of toilets etc.trainees hostelof CIFt at Thevara cheque in f\o the executive engineer(civil)CPWD,Cochin vide.S.No.11-9/2022-cdn dtd 31.01.2023</t>
  </si>
  <si>
    <t>Fine tuning of CIFT-TED for adoption in the trawl fisheries for the certification of marine shrimp harvested from India-MPEDA</t>
  </si>
  <si>
    <t>31.03.2023</t>
  </si>
  <si>
    <t>07.04.22</t>
  </si>
  <si>
    <t>Renovation of toilet internal &amp; external painting of Type II Quartters at thevara HQ Cochin S.o.N0.1-2/2021/Cdn Dt.30.03.21</t>
  </si>
  <si>
    <t>Renovation of  toilet internal &amp; external painting of Type I Quartters at thevara HQ Cochin S.o.N0.1-3/2021/Cdn Dt.18.09.21</t>
  </si>
  <si>
    <t>civil work "renovation of toilets ,internal &amp; external of type III quarters of ICAR-CIFT residential complex  advance to executive engineer (Civil),CPWD cochin vide.S.No.1-4/2021-cdn dtd 13.02.2023</t>
  </si>
  <si>
    <t>Repair&amp;renovation of Ground floor of Mumbai Research centre (R&amp;M/Office building/2021-22),vide S.No.1-11/2018-cdn dtd 28.03.2022</t>
  </si>
  <si>
    <t>Repair&amp;maintenance of increasing drain height&amp;laying paver blocks in front of quarters of type III,IV,V at CIFT,Kochi vide S.O.No.F.1-6/2021-Cdn dtd 26.05.2022(R&amp;M RB/2022-23)</t>
  </si>
  <si>
    <t>Repair &amp; renovation of ground floor of Mumbai Research centre.(Electrical work)R&amp;M/office building/2022-23vide S.o.No.1-11/2018-cdn dtd 23.06.2022</t>
  </si>
  <si>
    <t>Repair &amp; maintenance of electrical &amp; mechanical installation of office cum lab building /residential building at visakhapatnam S.O no.1-13/2016 cdn  dtd 23.07.2022(ACB/440/2022-23/adv dtd 26.07.2022) adv to PAO,CPWD(S2) chennai through bharatkosh</t>
  </si>
  <si>
    <t>Repair &amp; maintenance of electrical &amp; mechanical installation of office cum lab building /residential building at visakhapatnam S.O no.1-13/2016 cdn  dtd 23.07.2022(ACB/434/2022-23/adv dtd 26.07.2022) adv to PAO,CPWD(S2) chennai through bharatkosh</t>
  </si>
  <si>
    <t xml:space="preserve">Repair and Maintinence of ICAR-CIFT office building at Cochin(CIVIL) Executive engineer,CPWD Cochin vide.S.Ono. 1-1/2022- cdn dtd 25.08.2022 </t>
  </si>
  <si>
    <t>Repair&amp;renovation of Ground floor of Mumbai Research centre (civil work)  (R&amp;M/Office building/2021-22),vide S.No.1-11/2018-cdn dtd 30.01.2023  PAO,west zone CPWD Mumbai</t>
  </si>
  <si>
    <t>Repair &amp; renovation of ground floor of Mumbai Research centre.(Electrical work)R&amp;M/office building/2022-23vide S.o.No.1-11/2018-cdn dtd 30.01.2023   PAO,west zone ,CPWD,Mumbai payment through bharathkosh</t>
  </si>
  <si>
    <t xml:space="preserve">Internal modification work of office building of Visakhapatnam RC of CIFT ,Advance to PAO,CPWD(S2) chennai through Bharatkosh R&amp;M/office building /22-23 F.No.1-13/2022-cdn dtd 02.02.2023 </t>
  </si>
  <si>
    <t>Repair work of 6 Nos.type 1&amp;6 Nos. Type II quarters at Visakhapatnam RC of CIFT,Adv to PAO,CPWD chennai,payment through Bharathkosh vide.S.no.1-4/2022-cdn dtd 02.02.2023 R&amp;M/res.building /22-23</t>
  </si>
  <si>
    <t>Advance payment to EFT by Jawaharlal Nehru Krishi vishwa Vidyala Jabalpur Demostation of CIFT Universities Imphal s.o.No.f.8-3/2017/CDN 22.3.2021(TSP)</t>
  </si>
  <si>
    <t>Advance payment to EFT by The Dean,College of Fisheries Uttarakhand s.o.No.f.30-27/21/CDN, 10.09.2021(SCSP)</t>
  </si>
  <si>
    <t>Advance payment to EFT by The Kamadhenu University,Gujarat ,s.o.No.f.30-27/21/CDN, 10.09.2021 (SCSP)</t>
  </si>
  <si>
    <t>Advance payment to EFT by The Dean,College of Fisheries Uttarakhand s.o.No.f.8-3/21/CDN, 09.09.2021 (TSP)</t>
  </si>
  <si>
    <t>Advance payment to EFT by Kamadhenu viswavidhyalaya chandigarh s.o.No.f.8-2/21/CDN, 09.09.2021 (TSP)</t>
  </si>
  <si>
    <t>Advance payment to EFT by The Director CISH Lucknow s.o.No.f.8-4/2016/CDN, 09.09.2021 (TSP)</t>
  </si>
  <si>
    <t>Advance payment to EFT by The Comptroller, college of fisheries, Ranchi ,s.o.No.f.8/2/20-21/CDN, 27.01.2022(TSP)</t>
  </si>
  <si>
    <t>Adavance tranfer by EFT to NETFISH(MPEDA)Cochin,towards conducting various training cum demonstration programme under SCSP,vide S.No.30-27/2021-cdn dtd05.03.2022</t>
  </si>
  <si>
    <t>Adavance by EFTto The Comptroller,KAU,towards conducting FLDs/ofTs of training cum demonstration ,videS.No.30-27/2021-cdn dtd 09/03/2022 (SCSP)</t>
  </si>
  <si>
    <t>Advance by DD in f/o M/s.Mahindra&amp;mahindra ltd.Mumbai,towards the purchase of mahindra &amp; mahindra Bolero Neu N4(o) through GEM vide.S.No.10-1/22-purchase dtd 20.03.2023 Head:capital/vehicle &amp; vessel/22-23</t>
  </si>
  <si>
    <t>Temp adv to M/s.Mahindra &amp; Mahindra Ltd,towards purchase of New Departmental Vehilce Mahindra Boleno Neo N4(o) at Vizag RC vide.S.No.10-1/2022-pur dtd 22.03.2023 Head:capital/vehilce &amp;vessel /22-23</t>
  </si>
  <si>
    <t>Temp adv to Shri Sajith K Jose,Tech officer of CO(v) towards the  expenses in c/w the registration payment of road tax insurance vide.S.No.10-1/22-purchase dtd 20.03.2023 Head:capital/vehicle of vessel</t>
  </si>
  <si>
    <t>Temp adv towards the registration ,insureance charges for the new vehicle mahindra Boleno at Vizag RC vide.S.No.10-1/2022-pur dtd 22.03.2023 Head:capital/vehicle &amp; Vessel/22-23</t>
  </si>
  <si>
    <t>Advance by DD in f/o M/s.Tuxcentrix consultancy PVT Ltd,cochin towards payment against delivery for the purchase of core switch for internal facility vide.S No.20-3/22/purchase dtd 21.03.23 Head:GIA-Capital/22-23</t>
  </si>
  <si>
    <t>TOTAL CAPITAL ADVANCE</t>
  </si>
  <si>
    <t>Temp adv by Cheque in f/o the New India Assuarence co ltd towards the renewval of insurance policy (KL 43 G 6720 (maruti ciaz) vide.S.No.23-1/2018/purc dtd 17.03.2023 Head:Admn exp./22-23</t>
  </si>
  <si>
    <t>temp adv by cheque in f/o M/S.Saurashtra systopack Pvt Ltd towards the purchase of SRM for calibration vide.S.no.11-3/2019/purch (600) dtd 13.02.2023 Head:Admn exp /R&amp;M(scientific Equip)/22-23</t>
  </si>
  <si>
    <t>Temp advance  to Dr.Bindhu J,PS,towards the purchase of fish ingredients etc.for conducting trng on "recent trends in food packaging &amp; testing of packaging materials on 27t Feb to March 1st  under SCSp Vide.Sno.6-32/22/purchase (SCSP) dtd 16.02.2023 head:SCSP/general/22-23</t>
  </si>
  <si>
    <t>Temp advance to Dr.V Geethalekshmi,PS towards the expenses I c/w SCSP trang.cum demonstration prgrm.during 7th to 9th March 2023 vide.S.no.30-27/2023-cdn dtd 13.01.2023 Head:SCSP/General/22-23</t>
  </si>
  <si>
    <t>Temp advance to Dr.Priya ER,,scientist  towards the cost of fish trng. Kit etc conducting trang programme on seafood quality assuarence during 20-24 Feb for Sc category vide. S.no.6-59/2022/purchase (SCSP) dtd 22.02.2023 Head:SCSP(General)2022-23</t>
  </si>
  <si>
    <t>Temp advancve Dr.Binsi PK,scientist,towards the purchase of fishing geans materials required for fabrication of gill net of hook of line distributed to tribal  fishers of Thrissur District vie.Sno.6-37/22/purchase Head:TSP/general/22-23</t>
  </si>
  <si>
    <t>Temp advance to Dr.Sreepriya Prakasan,scientist in c/w training under TSP component on fish value addition waste management during 13 th march  to 17 th March 2023 vide.S.no.8-2/2021-cdn dtd 06.03.2023 Head:TSP(gen)/2022-23</t>
  </si>
  <si>
    <t>Temp adv to Shri.Shravan Kumar Sharma,scientist for conducting trail cum demonstration programme under SCSP at Mumbai region vide.S.No.30-27/2022-cdn dtd 20.01.2023 Head:SCSP(General)2022-23</t>
  </si>
  <si>
    <t>Temp adv to Dr.Binsi  P K ,scientist towards meeting anticipated costs in c /w conducting training programme duirng 9th to 10th March 2023 vie.S.No.8-2/2021/cdn dtd 09.03.2023Head:TSP(Gen)/2022-23</t>
  </si>
  <si>
    <t>Temp adv to Dr.Sreepriya Prakasan,scientist towards the expenses in c/w training programme on "fish value addition of waste management at ICAR from 13th to 17th March 2023 vide S.no.6-37/22/purchase(TSP)(part) dtd 10.03.2023 Head:TSP/general/2022-23</t>
  </si>
  <si>
    <t>Temp adv to Dr.V Geethaleskhmi,PS, towards the expenses in c/w distribution of fish feed bags to the 50 SC beneficiaries under SCSP component to be conducted during 3rd week of March,23 vide.S.No.30-27/22-cdn dtd 10.03.2023 Head:SCSP/general/22-23</t>
  </si>
  <si>
    <t>Temp adv to Dr. V Geethalekshmi ,PS towards the expenses in c/w distribution of fish feed to 20 SC participants to be held at Thanjavur from 27th to 29th March,2023 vide. S.No.30-27/22-cdn dtd 10.03.2023 Head:SCSP/general/22-23</t>
  </si>
  <si>
    <t>Temp adv to Dr.Pe Jeyya Jeyanthi,sr.scientist towards the exp.for conducting one day training cum input distributon progm.under SCSp,Neendakara harbour kollam on 27 th march 2023 vide.S.No.30-27/2022-cdn dtd 16.03.2023 Head:SCSP/gen/22-23</t>
  </si>
  <si>
    <t>Temp adv to Dr.Ashaletha ,PS towards the purchase of name board,name stikcker for product pockets &amp;bottles of cartons in c/w starting a small scale trial marketing as per S.No.6-12/2022/purchase (SCSP) dtd 20.03.2023 Head:SCSP-general/22-23</t>
  </si>
  <si>
    <t>Temp adv in r/o Dr.Abhay Kumar,scientist towards the expenses for conducting 3 days training during 29th to 31 st March 2023 vide.S.No.30-27/2022-cdn dtd 13.03.2023 Head:SCSP(General)/22-23</t>
  </si>
  <si>
    <t>Temp adv to Dr.Priya ER ,scientist QAM div.Towards the expenses in c/w trang. Programme on "Good Aquaculture practices of good handling practices" under SC Category under SCSP during 1St week of April 2023 vide.S.No.30-27/2022-cdn dtd 28.03.2023</t>
  </si>
  <si>
    <t>UNIVERSAL SECURITY SERVICES</t>
  </si>
  <si>
    <t>TOTAL EMD</t>
  </si>
  <si>
    <t>SECURITY DEPOSIT</t>
  </si>
  <si>
    <t>GARWARE-WALL ROPES LTD.</t>
  </si>
  <si>
    <t>TILE MARINE LLC, DUBAI (3014/54 USD)</t>
  </si>
  <si>
    <t>BIOLINX INDIA</t>
  </si>
  <si>
    <t>POLYPLAST-CHEMPLAST (I) PVT.LTD.</t>
  </si>
  <si>
    <t>GENERIC BUSINESS SOLUTIONS PVT. LTD</t>
  </si>
  <si>
    <t>TECHNO SEARCH INSTRUMENTS</t>
  </si>
  <si>
    <t>DEEPAK ENTERPRISES</t>
  </si>
  <si>
    <t>CRYSTAL TECHNOLOGIES</t>
  </si>
  <si>
    <t>ZIGMA SOLUTIONS</t>
  </si>
  <si>
    <t>SHREE GADGEBABA MAHARAJ BEROJGAR SANSTHA</t>
  </si>
  <si>
    <t>BIOLINX INDIA PVT. LTD.</t>
  </si>
  <si>
    <t xml:space="preserve">MR. P.C.KABEER, FARM CHIMP AGRO &amp; GENERAL TRADERS PVT. LTD </t>
  </si>
  <si>
    <t xml:space="preserve">APPLIED MATHS NV, BELGIUM </t>
  </si>
  <si>
    <t>SHREE CONSULTANCY SERVICES</t>
  </si>
  <si>
    <t>FORECOM INFRATECH SYSTEMS (P) LTD.</t>
  </si>
  <si>
    <t>TECHNO CONSULTANCY SERVICES</t>
  </si>
  <si>
    <t>GOLDEN CATERING EQUIPMENTS</t>
  </si>
  <si>
    <t>SMUDRA SHIPYARD(P) LTD</t>
  </si>
  <si>
    <t>K.M.TECHNOLOGIES</t>
  </si>
  <si>
    <t>SEALERA INDIA (CHENNAI)</t>
  </si>
  <si>
    <t>QUERTEL IP SERVICES INDIA</t>
  </si>
  <si>
    <t>INCUBATION FESILITY IN AGRI</t>
  </si>
  <si>
    <t>INKRAP INSTRUMENTS(P) LTD</t>
  </si>
  <si>
    <t>SREE CONSULTENCY SERVICES</t>
  </si>
  <si>
    <t>DELL MARC ENTERPRISES</t>
  </si>
  <si>
    <t>KRAFT WORK SOLAR PVT LTD</t>
  </si>
  <si>
    <t>JOEL TECH SYSTEMS</t>
  </si>
  <si>
    <t>SAMUDRA SHIPYARD PVT LTD</t>
  </si>
  <si>
    <t>MEGATREND KNOWLEDGE MANAGEMENT SYSTEM PVT LTD</t>
  </si>
  <si>
    <t xml:space="preserve">TECHWEGO SOLUTIONS PVT LTD </t>
  </si>
  <si>
    <t>TOTAL SECURITY DEPOSIT</t>
  </si>
  <si>
    <t>TOTAL EMD+SECURITY DEPOSIT</t>
  </si>
  <si>
    <t>Income Tax -Staff</t>
  </si>
  <si>
    <t>L.I.C.</t>
  </si>
  <si>
    <t>Professional Tax</t>
  </si>
  <si>
    <t>Motor Car Advance/Scooter</t>
  </si>
  <si>
    <t>G.S.L.I.S.</t>
  </si>
  <si>
    <t>MiscellaneouS</t>
  </si>
  <si>
    <t>P.L.I.</t>
  </si>
  <si>
    <t>H.B.A.</t>
  </si>
  <si>
    <t>GST</t>
  </si>
  <si>
    <t>GST-TDS</t>
  </si>
  <si>
    <t>Society</t>
  </si>
  <si>
    <t>Sales Tax</t>
  </si>
  <si>
    <t>Employer contribution - NPS</t>
  </si>
  <si>
    <t>Employee Contribution -NPS</t>
  </si>
  <si>
    <t>IT-Party</t>
  </si>
  <si>
    <t>CIFT, Headquarters</t>
  </si>
  <si>
    <t>Mumbai Research Centre</t>
  </si>
  <si>
    <t>Veraval Research Centre</t>
  </si>
  <si>
    <t>Vizag Research Centre</t>
  </si>
  <si>
    <t>Glassware</t>
  </si>
  <si>
    <t xml:space="preserve">Consumable </t>
  </si>
  <si>
    <t>Spares</t>
  </si>
  <si>
    <t>Stationery</t>
  </si>
  <si>
    <t>NAME OF THE ICAR UNIT - ICAR - CIFT</t>
  </si>
  <si>
    <t>NAME OF THE ICAR UNIT: ICAR CIFT</t>
  </si>
  <si>
    <t>BANK RECONCILIATION STATEMENTOF TSA ACCOUNT No. 10672101082 FOR THE MONTH OF MARCH 23</t>
  </si>
  <si>
    <t>Bank Reconciliation Statement upto the month of  MARCH 23</t>
  </si>
  <si>
    <t>Name of the Institute:ICAR-CIFT</t>
  </si>
  <si>
    <r>
      <t>Interest earned + acrued interest + Previous income (210309+</t>
    </r>
    <r>
      <rPr>
        <b/>
        <sz val="10"/>
        <color rgb="FFFF0000"/>
        <rFont val="Arial"/>
        <family val="2"/>
      </rPr>
      <t>898458</t>
    </r>
    <r>
      <rPr>
        <b/>
        <sz val="10"/>
        <rFont val="Arial"/>
        <family val="2"/>
      </rPr>
      <t>-56455=1052312)</t>
    </r>
  </si>
  <si>
    <t>TECHNOFEEDER PVT. LTD</t>
  </si>
  <si>
    <t>C&amp;R UNIQUE INDUSTRIES</t>
  </si>
  <si>
    <t>JAY PARASHURAM SECURITY SERVICE</t>
  </si>
  <si>
    <t>PIONEER OFFSET PRINTERS</t>
  </si>
  <si>
    <t>FERI TRUST</t>
  </si>
  <si>
    <t>LLOYDS RESEARCH FOUNDATION</t>
  </si>
  <si>
    <t xml:space="preserve">salary and pension April </t>
  </si>
  <si>
    <t>BILL 1270 APRIL TO JUNE 2022 PENSION 3347308000</t>
  </si>
  <si>
    <t>April 22 FS general other 276293000</t>
  </si>
  <si>
    <t>BILL 1270 APRIL TO JUNE 2022 SALARY 9874232000</t>
  </si>
  <si>
    <t>April 22 FS general NEH 6619000</t>
  </si>
  <si>
    <t>April 22 FS general SCSP 22815000</t>
  </si>
  <si>
    <t>April 22 FS general TSP 11105000</t>
  </si>
  <si>
    <t>CAPITAL JULY TO SEPTEMBER 2022 35025000</t>
  </si>
  <si>
    <t>April 22 Fisheries Capital SCSP 4065000</t>
  </si>
  <si>
    <t>April 22 Fisheries Capital TSP 2565000</t>
  </si>
  <si>
    <t>April 22 Fisheris Capital Other 21015000</t>
  </si>
  <si>
    <t>PENSION JULY TO SEPTEMBER 2022</t>
  </si>
  <si>
    <t>SALARY JULY TO SEPTEMBER 2022</t>
  </si>
  <si>
    <t>NEH GENERAL JULY TO SEPTEMBER 2022 5200000</t>
  </si>
  <si>
    <t>NEH CAPITAL JULY TO SEPTEMBER 2022 2225000</t>
  </si>
  <si>
    <t>TSP GENERAL JULY TO SEPTEMBER 2022 8725000</t>
  </si>
  <si>
    <t>TSP CAPITAL JULY TO SEPTEMBER 2022 4275000</t>
  </si>
  <si>
    <t>SCSP GENERAL JULY TO SEPTEMBER 2022 17925000</t>
  </si>
  <si>
    <t>FS CAPITAL SCSP OCT TO DEC 2022 6775000</t>
  </si>
  <si>
    <t>FS GENERAL OTHER OCT TO DEC 2022 217075000</t>
  </si>
  <si>
    <t>PENSION OCTOBER TO DECEMBER 2022</t>
  </si>
  <si>
    <t>SALARY OCTOBER TO DECEMBER 2022 Final</t>
  </si>
  <si>
    <t>FS CAPITAL OTHER OCT TO DEC 2022 26385000</t>
  </si>
  <si>
    <t>SCSP CAPITAL JULY TO SEPTEMBER 2022 6775000</t>
  </si>
  <si>
    <t>FS CAPITAL TSP OCT TO DEC 2022 4085000</t>
  </si>
  <si>
    <t>GENERAL JULY TO SEPTEMBER 2022 217075000</t>
  </si>
  <si>
    <t>FS GENERAL SCSP OCT TO DEC 2022 17925000</t>
  </si>
  <si>
    <t>FS GENERAL TSP OCT TO DEC 2022 8652000</t>
  </si>
  <si>
    <t>FS GENERAL NEH OCT TO DEC 2022 5200000</t>
  </si>
  <si>
    <t>Additional fund December 2022 pension</t>
  </si>
  <si>
    <t>SALARY JAN 23 2787827000</t>
  </si>
  <si>
    <t>Additional fund Pension January 2023 32500000</t>
  </si>
  <si>
    <t>FISHERIES CAPITAL OTHER JAN 23 44963000</t>
  </si>
  <si>
    <t>FISHERIES CAPITAL SCSP JAN 23 9485000</t>
  </si>
  <si>
    <t>FISHERIES CAPITAL TSP JAN 23 5985000</t>
  </si>
  <si>
    <t>FISHERIES CAPITAL NEH JAN 23 3115000</t>
  </si>
  <si>
    <t>FISH GENERAL OTHER JANUARY 2023 117358000</t>
  </si>
  <si>
    <t>FISH GENERAL SCSP JANUARY 2023 13035000</t>
  </si>
  <si>
    <t>FISH GENERAL TSP JANUARY 2023 6345000</t>
  </si>
  <si>
    <t>FISH GENERAL NEH JANUARY 2023 3781000</t>
  </si>
  <si>
    <t>GIA General Under 1270 January 2023</t>
  </si>
  <si>
    <t>FS GENERAL OTHER JANUARY 2023 3863000</t>
  </si>
  <si>
    <t>PENSION FEB 23 1246019000</t>
  </si>
  <si>
    <t>SALARY FEB 23 3444088000</t>
  </si>
  <si>
    <t>FS CAPITAL OTHER FEB 2023 9640000</t>
  </si>
  <si>
    <t>GIA GENERAL march 2023 1270 159000000</t>
  </si>
  <si>
    <t>GENERAL MARCH 2023 OUT OF 1270 67652000</t>
  </si>
  <si>
    <t>ADDITIONAL FUND SALARY MARCH 23 47808000</t>
  </si>
  <si>
    <t>PENSION MARCH 2023 7779000</t>
  </si>
  <si>
    <t>Temp advance to Dr.Chandrasekhar V,Sr.Scientist towards meeting costs for conducting painting competition on 04/11/22,in c/w vigilance awareness week,2022 vide.S.o.8-2/2020-cdn dtd 31.10.2022 Head:adm expnses/22-23</t>
  </si>
  <si>
    <t>Temp advance to Dr.Remya S,Scientist , towards the purchasde of fish,packaging materials etc.in c/w SCSP trng.programme vide.S.No.2-2/2020/purchase dtd 07.02.2023 Head:SCSP/general/22-23</t>
  </si>
  <si>
    <t>Temp advance  to Dr.Zynudheen A.A,PS,towarsds fee for desktop surveillance NABL potal in c/w assesment sheduled durimg 11-12 march 2023.vide.Sno.26-2/2021-cdn dtd 10.02.2023 Head:Research Exp/22-23</t>
  </si>
  <si>
    <t>Temp advance to Dr.Bindhu J,PS towarrds the charges for ILC of packaging materials in c/w NABL Audit through Mumbai,Hyderabad ,Chennai &amp; Ahammedabad held on 12th to 13th March 23 vide.Sno.26-2/2021-cdn dtd 17.02.2023 Head:Research Exp/22-23</t>
  </si>
  <si>
    <t>g</t>
  </si>
  <si>
    <t>OTHER ADVANCES</t>
  </si>
  <si>
    <t xml:space="preserve">Computer </t>
  </si>
  <si>
    <t>car</t>
  </si>
  <si>
    <t>Licence Fee</t>
  </si>
  <si>
    <t>water charge</t>
  </si>
  <si>
    <t>Rs.169840/- income generated through IRGS</t>
  </si>
  <si>
    <t>Non-Sheme General (Additional support by ICAR)</t>
  </si>
  <si>
    <t>F.No.07(01)/2021-IPR dtd 05.05.22</t>
  </si>
  <si>
    <t>NAIF</t>
  </si>
  <si>
    <t>ABI-NAIF</t>
  </si>
  <si>
    <t>F.No.IP&amp;TM-07(01)/2021-IPR dt 02.08.22</t>
  </si>
  <si>
    <t>F.No.IP&amp;TM-07(01)/2021-IPR dtd 03.11.22</t>
  </si>
  <si>
    <t>F.No.IP&amp;TM-07(01)/2021-IPR dt 27.01.23</t>
  </si>
  <si>
    <t>ZTMC</t>
  </si>
  <si>
    <t>F.No.07(01)/2021-IPR dtd 02.08.22</t>
  </si>
  <si>
    <t>F.No.IP&amp;TM-07(01)/2021-IPR dtd 27.01.23</t>
  </si>
  <si>
    <t>F.No.Ag.Edn./27/02/NP-NF/2020-HRD dtd 23.09.22</t>
  </si>
  <si>
    <t>Agrl. Etx.Div</t>
  </si>
  <si>
    <t>F.No.Ag.Edn./27/02/NP-NF/2020-HRD dtd 17.03.23</t>
  </si>
  <si>
    <t>F.No.Fin/12(9)2022-Accounts-I dtd 13.03.23</t>
  </si>
  <si>
    <t xml:space="preserve">ICAR </t>
  </si>
  <si>
    <t xml:space="preserve">ICAR-IRRI </t>
  </si>
  <si>
    <t>Mar.23</t>
  </si>
  <si>
    <t>F.No.NASF/MB-9011/2022-23  dtd 17.07.22</t>
  </si>
  <si>
    <t>NASF-Foodomics</t>
  </si>
  <si>
    <t xml:space="preserve">F.No.NASF/MB-9011/2022-23 </t>
  </si>
  <si>
    <t>F.No.14-6/2022-Audit dtd 10.01.23</t>
  </si>
  <si>
    <t>CMFRI</t>
  </si>
  <si>
    <t>Network Impact</t>
  </si>
  <si>
    <t>F.No.14-6/2022-Audit dtd 26.09.22</t>
  </si>
  <si>
    <t>F.No.7(3)/2022-Cdn.Tech dtd 08.07.22</t>
  </si>
  <si>
    <t>SAP</t>
  </si>
  <si>
    <t>F.9(2)/2023-ES-HRD  dtd 07.03.23</t>
  </si>
  <si>
    <t>ICAR-Emeritus Scientist</t>
  </si>
  <si>
    <t>NO.F.CIBA/AINP-FH/22-23  dtd 26.04.22</t>
  </si>
  <si>
    <t>CIBA</t>
  </si>
  <si>
    <t>AINP-CIBA-Fish Health</t>
  </si>
  <si>
    <t>NO.F.CIBA/AINP-FH/22-23 dtd 27.07.22</t>
  </si>
  <si>
    <t>NO.F.CIBA/AINP-FH/22-23 dtd 13.12.2022</t>
  </si>
  <si>
    <t>NO.F.CIBA/AINP-FH/22-23 dtd 15.02.23</t>
  </si>
  <si>
    <t xml:space="preserve"> GRAND TOTAL  </t>
  </si>
  <si>
    <t>ICAR-CENTRAL INSTITUTE OF FISHERIES TECHNOLOGY, KOCHI</t>
  </si>
  <si>
    <t>Nil</t>
  </si>
  <si>
    <t>Name of the institute:ICAR-CENTRAL INSTITUTE OF FISHERIES TECHNOLOGY, KOCHI</t>
  </si>
  <si>
    <t>Name of the institute ICAR-CENTRAL INSTITUTE OF FISHERIES TECHNOLOGY, KOCHI</t>
  </si>
  <si>
    <t>Name of the Institute: ICAR-CENTRAL INSTITUTE OF FISHERIES TECHNOLOGY, KOCHI</t>
  </si>
  <si>
    <t>Name of the Institute:ICAR-CENTRAL INSTITUTE OF FISHERIES TECHNOLOGY, KOCHI</t>
  </si>
  <si>
    <r>
      <t>Use of natural resins&amp;gums-</t>
    </r>
    <r>
      <rPr>
        <b/>
        <sz val="14"/>
        <rFont val="Times New Roman"/>
        <family val="1"/>
      </rPr>
      <t>SERB</t>
    </r>
  </si>
  <si>
    <t>R.Depo/M/o Food Processing/for food testing lab at CIFT</t>
  </si>
  <si>
    <t>Ref. Course on Admn. &amp; Fin. Mngmt/NAARM/19-20</t>
  </si>
  <si>
    <t>R.Depo/Capacity Building Training Programme(CBTP)/2018-19</t>
  </si>
  <si>
    <t>Consultancy (Tuna boat(A&amp;N)-167246+Tuna(L)-360000,</t>
  </si>
  <si>
    <t>Tech. Transfer/Sagar Manthan Machhimar Utthan Mandal/18-19</t>
  </si>
  <si>
    <t>Tech. Trf/Faisal M</t>
  </si>
  <si>
    <t>Consultancy/Master Shipyard Pvt Ltd, Kochi/20-21</t>
  </si>
  <si>
    <t>Projects funded out of Consultancy</t>
  </si>
  <si>
    <t xml:space="preserve">SUB TOTAL </t>
  </si>
  <si>
    <t>Serb</t>
  </si>
  <si>
    <t>Other external funded projects</t>
  </si>
  <si>
    <t>c</t>
  </si>
  <si>
    <t xml:space="preserve">                                                                                                                                                                                    Sr. Comptroller/Comptroller/CF&amp;AO/SF&amp;AO/F&amp;AO/AF&amp;AO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</si>
</sst>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_(* #,##0.00_);_(* \(#,##0.00\);_(* &quot;-&quot;??_);_(@_)"/>
    <numFmt numFmtId="165" formatCode="0.00_)"/>
    <numFmt numFmtId="166" formatCode="#,##0.00;[Red]#,##0.00"/>
    <numFmt numFmtId="167" formatCode="0_)"/>
    <numFmt numFmtId="168" formatCode="0;[Red]0"/>
    <numFmt numFmtId="169" formatCode="0.00;[Red]0.00"/>
    <numFmt numFmtId="170" formatCode="0.00000000"/>
    <numFmt numFmtId="171" formatCode="0.00000"/>
  </numFmts>
  <fonts count="191">
    <font>
      <sz val="10"/>
      <name val="Arial"/>
      <charset val="13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color rgb="FF1D2228"/>
      <name val="Calibri"/>
      <family val="2"/>
      <scheme val="minor"/>
    </font>
    <font>
      <sz val="11"/>
      <name val="Calibri"/>
      <family val="2"/>
      <scheme val="minor"/>
    </font>
    <font>
      <b/>
      <sz val="14"/>
      <name val="Calibri"/>
      <family val="2"/>
    </font>
    <font>
      <b/>
      <sz val="13"/>
      <name val="Calibri"/>
      <family val="2"/>
      <scheme val="minor"/>
    </font>
    <font>
      <b/>
      <sz val="11"/>
      <name val="Calibri"/>
      <family val="2"/>
      <scheme val="minor"/>
    </font>
    <font>
      <b/>
      <sz val="12"/>
      <name val="Calibri"/>
      <family val="2"/>
      <scheme val="minor"/>
    </font>
    <font>
      <sz val="12"/>
      <color rgb="FF000000"/>
      <name val="Calibri"/>
      <family val="2"/>
      <scheme val="minor"/>
    </font>
    <font>
      <b/>
      <sz val="14"/>
      <name val="Calibri"/>
      <family val="2"/>
      <scheme val="minor"/>
    </font>
    <font>
      <b/>
      <sz val="10"/>
      <name val="Arial"/>
      <family val="2"/>
    </font>
    <font>
      <b/>
      <sz val="10"/>
      <color rgb="FF222222"/>
      <name val="Times New Roman"/>
      <family val="1"/>
    </font>
    <font>
      <b/>
      <sz val="11"/>
      <color rgb="FF222222"/>
      <name val="Times New Roman"/>
      <family val="1"/>
    </font>
    <font>
      <b/>
      <sz val="9"/>
      <color rgb="FF222222"/>
      <name val="Times New Roman"/>
      <family val="1"/>
    </font>
    <font>
      <b/>
      <sz val="12"/>
      <color theme="1"/>
      <name val="Times New Roman"/>
      <family val="1"/>
    </font>
    <font>
      <b/>
      <sz val="16"/>
      <name val="Calibri"/>
      <family val="2"/>
      <scheme val="minor"/>
    </font>
    <font>
      <sz val="12"/>
      <color theme="1"/>
      <name val="Times New Roman"/>
      <family val="1"/>
    </font>
    <font>
      <sz val="12"/>
      <color rgb="FF222222"/>
      <name val="Times New Roman"/>
      <family val="1"/>
    </font>
    <font>
      <b/>
      <u/>
      <sz val="10"/>
      <color theme="1"/>
      <name val="Times New Roman"/>
      <family val="1"/>
    </font>
    <font>
      <sz val="11"/>
      <color theme="1"/>
      <name val="Times New Roman"/>
      <family val="1"/>
    </font>
    <font>
      <sz val="12"/>
      <name val="Calibri"/>
      <family val="2"/>
      <scheme val="minor"/>
    </font>
    <font>
      <b/>
      <sz val="20"/>
      <name val="Calibri"/>
      <family val="2"/>
      <scheme val="minor"/>
    </font>
    <font>
      <sz val="10"/>
      <name val="Calibri"/>
      <family val="2"/>
      <scheme val="minor"/>
    </font>
    <font>
      <sz val="12"/>
      <name val="Arial"/>
      <family val="2"/>
    </font>
    <font>
      <sz val="12"/>
      <color theme="1"/>
      <name val="Calibri"/>
      <family val="2"/>
      <scheme val="minor"/>
    </font>
    <font>
      <b/>
      <sz val="10"/>
      <name val="Calibri"/>
      <family val="2"/>
      <scheme val="minor"/>
    </font>
    <font>
      <b/>
      <u/>
      <sz val="9"/>
      <name val="Calibri"/>
      <family val="2"/>
      <scheme val="minor"/>
    </font>
    <font>
      <b/>
      <sz val="13"/>
      <name val="Calibri"/>
      <family val="2"/>
    </font>
    <font>
      <b/>
      <u/>
      <sz val="12"/>
      <name val="Arial"/>
      <family val="2"/>
    </font>
    <font>
      <b/>
      <sz val="12"/>
      <name val="Arial"/>
      <family val="2"/>
    </font>
    <font>
      <sz val="11"/>
      <name val="Arial"/>
      <family val="2"/>
    </font>
    <font>
      <i/>
      <sz val="12"/>
      <name val="Arial"/>
      <family val="2"/>
    </font>
    <font>
      <b/>
      <sz val="11"/>
      <name val="Calibri"/>
      <family val="2"/>
    </font>
    <font>
      <b/>
      <sz val="28"/>
      <name val="Calibri"/>
      <family val="2"/>
    </font>
    <font>
      <b/>
      <u/>
      <sz val="22"/>
      <color indexed="8"/>
      <name val="Calibri"/>
      <family val="2"/>
    </font>
    <font>
      <i/>
      <sz val="14"/>
      <name val="Calibri"/>
      <family val="2"/>
      <scheme val="minor"/>
    </font>
    <font>
      <b/>
      <sz val="14"/>
      <name val="Arial"/>
      <family val="2"/>
    </font>
    <font>
      <b/>
      <sz val="14"/>
      <color indexed="8"/>
      <name val="Calibri"/>
      <family val="2"/>
    </font>
    <font>
      <b/>
      <sz val="14"/>
      <color rgb="FFFF0000"/>
      <name val="Calibri"/>
      <family val="2"/>
    </font>
    <font>
      <b/>
      <sz val="14"/>
      <color rgb="FFFF0000"/>
      <name val="Arial"/>
      <family val="2"/>
    </font>
    <font>
      <sz val="12"/>
      <name val="Calibri"/>
      <family val="2"/>
    </font>
    <font>
      <b/>
      <sz val="12"/>
      <name val="Calibri"/>
      <family val="2"/>
    </font>
    <font>
      <b/>
      <u/>
      <sz val="14"/>
      <name val="Calibri"/>
      <family val="2"/>
    </font>
    <font>
      <b/>
      <i/>
      <sz val="11"/>
      <color indexed="8"/>
      <name val="Calibri"/>
      <family val="2"/>
      <scheme val="minor"/>
    </font>
    <font>
      <b/>
      <sz val="13"/>
      <color indexed="8"/>
      <name val="Calibri"/>
      <family val="2"/>
      <scheme val="minor"/>
    </font>
    <font>
      <b/>
      <sz val="13"/>
      <color theme="1"/>
      <name val="Calibri"/>
      <family val="2"/>
      <scheme val="minor"/>
    </font>
    <font>
      <b/>
      <sz val="12"/>
      <color indexed="8"/>
      <name val="Calibri"/>
      <family val="2"/>
      <scheme val="minor"/>
    </font>
    <font>
      <sz val="11"/>
      <color indexed="8"/>
      <name val="Calibri"/>
      <family val="2"/>
      <scheme val="minor"/>
    </font>
    <font>
      <b/>
      <sz val="11"/>
      <color indexed="8"/>
      <name val="Calibri"/>
      <family val="2"/>
      <scheme val="minor"/>
    </font>
    <font>
      <sz val="11"/>
      <name val="Calibri"/>
      <family val="2"/>
    </font>
    <font>
      <b/>
      <sz val="11"/>
      <color theme="1"/>
      <name val="Calibri"/>
      <family val="2"/>
    </font>
    <font>
      <b/>
      <sz val="11"/>
      <color indexed="8"/>
      <name val="Calibri"/>
      <family val="2"/>
    </font>
    <font>
      <sz val="11"/>
      <color indexed="8"/>
      <name val="Calibri"/>
      <family val="2"/>
    </font>
    <font>
      <b/>
      <i/>
      <sz val="11"/>
      <color indexed="8"/>
      <name val="Calibri"/>
      <family val="2"/>
    </font>
    <font>
      <i/>
      <sz val="10"/>
      <name val="Calibri"/>
      <family val="2"/>
      <scheme val="minor"/>
    </font>
    <font>
      <b/>
      <i/>
      <sz val="11"/>
      <color theme="1"/>
      <name val="Calibri"/>
      <family val="2"/>
      <scheme val="minor"/>
    </font>
    <font>
      <b/>
      <sz val="12"/>
      <color theme="1"/>
      <name val="Calibri"/>
      <family val="2"/>
      <scheme val="minor"/>
    </font>
    <font>
      <b/>
      <sz val="10"/>
      <name val="Courier"/>
      <family val="3"/>
    </font>
    <font>
      <sz val="10"/>
      <name val="Arial"/>
      <family val="2"/>
    </font>
    <font>
      <sz val="10"/>
      <color rgb="FF000000"/>
      <name val="Calibri"/>
      <family val="2"/>
      <scheme val="minor"/>
    </font>
    <font>
      <b/>
      <sz val="10"/>
      <color rgb="FF0070C0"/>
      <name val="Calibri"/>
      <family val="2"/>
      <scheme val="minor"/>
    </font>
    <font>
      <b/>
      <sz val="10"/>
      <color rgb="FFFF0000"/>
      <name val="Calibri"/>
      <family val="2"/>
      <scheme val="minor"/>
    </font>
    <font>
      <sz val="10"/>
      <color rgb="FFFF0000"/>
      <name val="Calibri"/>
      <family val="2"/>
      <scheme val="minor"/>
    </font>
    <font>
      <b/>
      <sz val="10"/>
      <color rgb="FF000000"/>
      <name val="Calibri"/>
      <family val="2"/>
      <scheme val="minor"/>
    </font>
    <font>
      <b/>
      <sz val="11"/>
      <name val="Arial"/>
      <family val="2"/>
    </font>
    <font>
      <sz val="10"/>
      <name val="Arial Narrow"/>
      <family val="2"/>
    </font>
    <font>
      <b/>
      <sz val="9"/>
      <name val="Arial"/>
      <family val="2"/>
    </font>
    <font>
      <i/>
      <sz val="9"/>
      <name val="Arial"/>
      <family val="2"/>
    </font>
    <font>
      <b/>
      <i/>
      <sz val="10"/>
      <name val="Calibri"/>
      <family val="2"/>
      <scheme val="minor"/>
    </font>
    <font>
      <sz val="10.5"/>
      <name val="Calibri"/>
      <family val="2"/>
      <scheme val="minor"/>
    </font>
    <font>
      <b/>
      <sz val="10.5"/>
      <color rgb="FF1D2228"/>
      <name val="Calibri"/>
      <family val="2"/>
      <scheme val="minor"/>
    </font>
    <font>
      <b/>
      <i/>
      <sz val="10.5"/>
      <color rgb="FF1D2228"/>
      <name val="Calibri"/>
      <family val="2"/>
      <scheme val="minor"/>
    </font>
    <font>
      <i/>
      <sz val="10.5"/>
      <color rgb="FF1D2228"/>
      <name val="Calibri"/>
      <family val="2"/>
      <scheme val="minor"/>
    </font>
    <font>
      <b/>
      <sz val="10"/>
      <name val="Arial Black"/>
      <family val="2"/>
    </font>
    <font>
      <b/>
      <sz val="12"/>
      <name val="Tahoma"/>
      <family val="2"/>
    </font>
    <font>
      <b/>
      <sz val="10"/>
      <name val="Tahoma"/>
      <family val="2"/>
    </font>
    <font>
      <sz val="12"/>
      <name val="Tahoma"/>
      <family val="2"/>
    </font>
    <font>
      <b/>
      <sz val="12"/>
      <name val="Arial Black"/>
      <family val="2"/>
    </font>
    <font>
      <sz val="12"/>
      <name val="Arial Black"/>
      <family val="2"/>
    </font>
    <font>
      <sz val="10"/>
      <color indexed="12"/>
      <name val="Arial"/>
      <family val="2"/>
    </font>
    <font>
      <u/>
      <sz val="12"/>
      <name val="Arial Black"/>
      <family val="2"/>
    </font>
    <font>
      <b/>
      <i/>
      <sz val="12"/>
      <name val="Arial Black"/>
      <family val="2"/>
    </font>
    <font>
      <i/>
      <sz val="12"/>
      <name val="Arial Black"/>
      <family val="2"/>
    </font>
    <font>
      <b/>
      <sz val="11"/>
      <name val="Arial Black"/>
      <family val="2"/>
    </font>
    <font>
      <sz val="9"/>
      <name val="Calibri"/>
      <family val="2"/>
      <scheme val="minor"/>
    </font>
    <font>
      <b/>
      <sz val="11"/>
      <color rgb="FFFF0000"/>
      <name val="Calibri"/>
      <family val="2"/>
      <scheme val="minor"/>
    </font>
    <font>
      <b/>
      <u/>
      <sz val="10"/>
      <name val="Arial"/>
      <family val="2"/>
    </font>
    <font>
      <u/>
      <sz val="10"/>
      <name val="Arial"/>
      <family val="2"/>
    </font>
    <font>
      <sz val="10"/>
      <color rgb="FFFF0000"/>
      <name val="Arial"/>
      <family val="2"/>
    </font>
    <font>
      <i/>
      <sz val="10"/>
      <name val="Arial"/>
      <family val="2"/>
    </font>
    <font>
      <b/>
      <sz val="11"/>
      <name val="Tahoma"/>
      <family val="2"/>
    </font>
    <font>
      <sz val="11"/>
      <name val="Tahoma"/>
      <family val="2"/>
    </font>
    <font>
      <sz val="10"/>
      <name val="Tahoma"/>
      <family val="2"/>
    </font>
    <font>
      <b/>
      <sz val="16"/>
      <name val="Arial"/>
      <family val="2"/>
    </font>
    <font>
      <b/>
      <sz val="14"/>
      <name val="Arial Black"/>
      <family val="2"/>
    </font>
    <font>
      <sz val="14"/>
      <name val="Arial"/>
      <family val="2"/>
    </font>
    <font>
      <b/>
      <sz val="10"/>
      <color indexed="12"/>
      <name val="Arial"/>
      <family val="2"/>
    </font>
    <font>
      <sz val="9"/>
      <color rgb="FFFF0000"/>
      <name val="Arial"/>
      <family val="2"/>
    </font>
    <font>
      <sz val="9"/>
      <name val="Arial"/>
      <family val="2"/>
    </font>
    <font>
      <sz val="9"/>
      <color indexed="12"/>
      <name val="Arial"/>
      <family val="2"/>
    </font>
    <font>
      <b/>
      <sz val="9"/>
      <color indexed="12"/>
      <name val="Arial"/>
      <family val="2"/>
    </font>
    <font>
      <b/>
      <sz val="10"/>
      <color rgb="FFFF0000"/>
      <name val="Arial"/>
      <family val="2"/>
    </font>
    <font>
      <i/>
      <sz val="9"/>
      <name val="Calibri"/>
      <family val="2"/>
      <scheme val="minor"/>
    </font>
    <font>
      <sz val="10"/>
      <color indexed="12"/>
      <name val="Calibri"/>
      <family val="2"/>
      <scheme val="minor"/>
    </font>
    <font>
      <b/>
      <sz val="10"/>
      <color indexed="12"/>
      <name val="Calibri"/>
      <family val="2"/>
      <scheme val="minor"/>
    </font>
    <font>
      <b/>
      <i/>
      <sz val="9"/>
      <name val="Calibri"/>
      <family val="2"/>
      <scheme val="minor"/>
    </font>
    <font>
      <sz val="10"/>
      <color theme="1"/>
      <name val="Calibri"/>
      <family val="2"/>
      <scheme val="minor"/>
    </font>
    <font>
      <sz val="11"/>
      <name val="Arial Black"/>
      <family val="2"/>
    </font>
    <font>
      <i/>
      <sz val="11"/>
      <name val="Arial Black"/>
      <family val="2"/>
    </font>
    <font>
      <sz val="10"/>
      <name val="Arial Black"/>
      <family val="2"/>
    </font>
    <font>
      <b/>
      <u/>
      <sz val="11"/>
      <name val="Arial Black"/>
      <family val="2"/>
    </font>
    <font>
      <i/>
      <sz val="10"/>
      <name val="Arial Black"/>
      <family val="2"/>
    </font>
    <font>
      <i/>
      <sz val="11"/>
      <name val="Arial"/>
      <family val="2"/>
    </font>
    <font>
      <b/>
      <sz val="11"/>
      <color theme="1"/>
      <name val="Arial"/>
      <family val="2"/>
    </font>
    <font>
      <b/>
      <sz val="10"/>
      <color indexed="10"/>
      <name val="Arial"/>
      <family val="2"/>
    </font>
    <font>
      <sz val="11"/>
      <color rgb="FFFF0000"/>
      <name val="Arial"/>
      <family val="2"/>
    </font>
    <font>
      <b/>
      <sz val="11"/>
      <color rgb="FFFF0000"/>
      <name val="Arial"/>
      <family val="2"/>
    </font>
    <font>
      <sz val="11"/>
      <color rgb="FF0070C0"/>
      <name val="Arial"/>
      <family val="2"/>
    </font>
    <font>
      <b/>
      <i/>
      <sz val="9"/>
      <name val="Arial"/>
      <family val="2"/>
    </font>
    <font>
      <b/>
      <sz val="18"/>
      <name val="Arial Black"/>
      <family val="2"/>
    </font>
    <font>
      <b/>
      <sz val="16"/>
      <name val="Arial Black"/>
      <family val="2"/>
    </font>
    <font>
      <sz val="16"/>
      <name val="Arial Black"/>
      <family val="2"/>
    </font>
    <font>
      <b/>
      <sz val="14"/>
      <color theme="7" tint="-0.499984740745262"/>
      <name val="Arial Black"/>
      <family val="2"/>
    </font>
    <font>
      <sz val="9"/>
      <name val="Arial Black"/>
      <family val="2"/>
    </font>
    <font>
      <sz val="14"/>
      <name val="Arial Black"/>
      <family val="2"/>
    </font>
    <font>
      <sz val="10"/>
      <color theme="5"/>
      <name val="Arial"/>
      <family val="2"/>
    </font>
    <font>
      <sz val="11"/>
      <name val="Times New Roman"/>
      <family val="1"/>
    </font>
    <font>
      <b/>
      <sz val="10"/>
      <color indexed="10"/>
      <name val="Tahoma"/>
      <family val="2"/>
    </font>
    <font>
      <sz val="10"/>
      <color indexed="10"/>
      <name val="Arial"/>
      <family val="2"/>
    </font>
    <font>
      <sz val="11"/>
      <color indexed="10"/>
      <name val="Arial"/>
      <family val="2"/>
    </font>
    <font>
      <b/>
      <i/>
      <sz val="10"/>
      <name val="Arial"/>
      <family val="2"/>
    </font>
    <font>
      <sz val="12"/>
      <name val="Arial Narrow"/>
      <family val="2"/>
    </font>
    <font>
      <sz val="12"/>
      <name val="Times New Roman"/>
      <family val="1"/>
    </font>
    <font>
      <b/>
      <sz val="12"/>
      <color indexed="12"/>
      <name val="Calibri"/>
      <family val="2"/>
      <scheme val="minor"/>
    </font>
    <font>
      <sz val="12"/>
      <color rgb="FFFF0000"/>
      <name val="Times New Roman"/>
      <family val="1"/>
    </font>
    <font>
      <sz val="12"/>
      <color theme="1"/>
      <name val="Arial"/>
      <family val="2"/>
    </font>
    <font>
      <i/>
      <sz val="12"/>
      <name val="Arial Narrow"/>
      <family val="2"/>
    </font>
    <font>
      <sz val="12"/>
      <color theme="1"/>
      <name val="Arial Narrow"/>
      <family val="2"/>
    </font>
    <font>
      <sz val="12"/>
      <color indexed="48"/>
      <name val="Calibri"/>
      <family val="2"/>
      <scheme val="minor"/>
    </font>
    <font>
      <sz val="18"/>
      <name val="Times New Roman"/>
      <family val="1"/>
    </font>
    <font>
      <sz val="10"/>
      <color indexed="16"/>
      <name val="Arial"/>
      <family val="2"/>
    </font>
    <font>
      <sz val="12"/>
      <color indexed="10"/>
      <name val="Arial Black"/>
      <family val="2"/>
    </font>
    <font>
      <b/>
      <sz val="12"/>
      <color indexed="10"/>
      <name val="Arial Black"/>
      <family val="2"/>
    </font>
    <font>
      <b/>
      <sz val="12"/>
      <color indexed="9"/>
      <name val="Arial Black"/>
      <family val="2"/>
    </font>
    <font>
      <sz val="10"/>
      <color indexed="8"/>
      <name val="Arial"/>
      <family val="2"/>
    </font>
    <font>
      <b/>
      <sz val="10"/>
      <color indexed="8"/>
      <name val="Arial"/>
      <family val="2"/>
    </font>
    <font>
      <sz val="10"/>
      <name val="Courier"/>
      <family val="3"/>
    </font>
    <font>
      <sz val="11"/>
      <color theme="1"/>
      <name val="Calibri"/>
      <family val="2"/>
      <scheme val="minor"/>
    </font>
    <font>
      <vertAlign val="superscript"/>
      <sz val="12"/>
      <color theme="1"/>
      <name val="Times New Roman"/>
      <family val="1"/>
    </font>
    <font>
      <b/>
      <u/>
      <sz val="12"/>
      <name val="Calibri"/>
      <family val="2"/>
    </font>
    <font>
      <b/>
      <sz val="10.5"/>
      <name val="Calibri"/>
      <family val="2"/>
    </font>
    <font>
      <sz val="10.5"/>
      <name val="Calibri"/>
      <family val="2"/>
    </font>
    <font>
      <i/>
      <sz val="10.5"/>
      <name val="Calibri"/>
      <family val="2"/>
    </font>
    <font>
      <sz val="10.5"/>
      <color indexed="63"/>
      <name val="Calibri"/>
      <family val="2"/>
    </font>
    <font>
      <b/>
      <vertAlign val="superscript"/>
      <sz val="12"/>
      <name val="Arial Black"/>
      <family val="2"/>
    </font>
    <font>
      <b/>
      <sz val="11"/>
      <name val="Times New Roman"/>
      <family val="1"/>
    </font>
    <font>
      <b/>
      <vertAlign val="superscript"/>
      <sz val="12"/>
      <name val="Arial"/>
      <family val="2"/>
    </font>
    <font>
      <b/>
      <sz val="11"/>
      <name val="Arial Black"/>
      <family val="2"/>
    </font>
    <font>
      <b/>
      <sz val="11"/>
      <color theme="1"/>
      <name val="Calibri"/>
      <family val="2"/>
      <scheme val="minor"/>
    </font>
    <font>
      <sz val="10"/>
      <name val="Arial"/>
      <family val="2"/>
    </font>
    <font>
      <b/>
      <sz val="10"/>
      <name val="Arial"/>
      <family val="2"/>
    </font>
    <font>
      <sz val="18"/>
      <color theme="1"/>
      <name val="Calibri"/>
      <family val="2"/>
      <scheme val="minor"/>
    </font>
    <font>
      <sz val="12"/>
      <name val="Calibri"/>
      <family val="2"/>
      <scheme val="minor"/>
    </font>
    <font>
      <sz val="12"/>
      <color theme="1"/>
      <name val="Calibri"/>
      <family val="2"/>
      <scheme val="minor"/>
    </font>
    <font>
      <b/>
      <sz val="12"/>
      <color theme="1"/>
      <name val="Calibri"/>
      <family val="2"/>
      <scheme val="minor"/>
    </font>
    <font>
      <b/>
      <sz val="12"/>
      <color theme="1"/>
      <name val="Arial"/>
      <family val="2"/>
    </font>
    <font>
      <u/>
      <sz val="10"/>
      <color theme="10"/>
      <name val="Arial"/>
      <family val="2"/>
    </font>
    <font>
      <u/>
      <sz val="12"/>
      <name val="Arial Narrow"/>
      <family val="2"/>
    </font>
    <font>
      <u/>
      <sz val="12"/>
      <color theme="10"/>
      <name val="Arial Narrow"/>
      <family val="2"/>
    </font>
    <font>
      <u/>
      <sz val="11"/>
      <name val="Calibri Light"/>
      <family val="2"/>
    </font>
    <font>
      <sz val="14"/>
      <name val="Times New Roman"/>
      <family val="1"/>
    </font>
    <font>
      <b/>
      <sz val="14"/>
      <name val="Times New Roman"/>
      <family val="1"/>
    </font>
    <font>
      <sz val="14"/>
      <name val="Arial Narrow"/>
      <family val="2"/>
    </font>
    <font>
      <b/>
      <sz val="12"/>
      <name val="Arial Narrow"/>
      <family val="2"/>
    </font>
    <font>
      <sz val="13"/>
      <name val="Times New Roman"/>
      <family val="1"/>
    </font>
    <font>
      <sz val="11"/>
      <color theme="1"/>
      <name val="Arial"/>
      <family val="2"/>
    </font>
    <font>
      <b/>
      <sz val="18"/>
      <name val="Calibri"/>
      <family val="2"/>
      <scheme val="minor"/>
    </font>
    <font>
      <i/>
      <sz val="12"/>
      <color theme="1"/>
      <name val="Arial Narrow"/>
      <family val="2"/>
    </font>
    <font>
      <sz val="10"/>
      <name val="Arial"/>
      <family val="2"/>
    </font>
    <font>
      <sz val="12"/>
      <color rgb="FF1D2228"/>
      <name val="Times New Roman"/>
      <family val="1"/>
    </font>
    <font>
      <sz val="12"/>
      <color indexed="8"/>
      <name val="Times New Roman"/>
      <family val="1"/>
    </font>
    <font>
      <b/>
      <sz val="12"/>
      <name val="Times New Roman"/>
      <family val="1"/>
    </font>
    <font>
      <sz val="10"/>
      <name val="Times New Roman"/>
      <family val="1"/>
    </font>
    <font>
      <b/>
      <sz val="11"/>
      <color theme="1"/>
      <name val="Times New Roman"/>
      <family val="1"/>
    </font>
    <font>
      <sz val="9"/>
      <name val="Times New Roman"/>
      <family val="1"/>
    </font>
    <font>
      <b/>
      <sz val="9"/>
      <name val="Times New Roman"/>
      <family val="1"/>
    </font>
  </fonts>
  <fills count="10">
    <fill>
      <patternFill patternType="none"/>
    </fill>
    <fill>
      <patternFill patternType="gray125"/>
    </fill>
    <fill>
      <patternFill patternType="solid">
        <fgColor theme="0" tint="-0.14993743705557422"/>
        <bgColor indexed="64"/>
      </patternFill>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theme="3" tint="0.79992065187536243"/>
        <bgColor indexed="64"/>
      </patternFill>
    </fill>
    <fill>
      <patternFill patternType="solid">
        <fgColor rgb="FFFFFF00"/>
        <bgColor indexed="64"/>
      </patternFill>
    </fill>
    <fill>
      <patternFill patternType="solid">
        <fgColor rgb="FFFFFFFF"/>
        <bgColor indexed="64"/>
      </patternFill>
    </fill>
    <fill>
      <patternFill patternType="solid">
        <fgColor rgb="FFE5E9D5"/>
        <bgColor indexed="64"/>
      </patternFill>
    </fill>
  </fills>
  <borders count="7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style="medium">
        <color auto="1"/>
      </right>
      <top/>
      <bottom style="medium">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top/>
      <bottom style="thin">
        <color auto="1"/>
      </bottom>
      <diagonal/>
    </border>
    <border>
      <left style="medium">
        <color auto="1"/>
      </left>
      <right/>
      <top style="medium">
        <color auto="1"/>
      </top>
      <bottom style="thin">
        <color auto="1"/>
      </bottom>
      <diagonal/>
    </border>
    <border>
      <left/>
      <right style="medium">
        <color rgb="FF000000"/>
      </right>
      <top style="medium">
        <color auto="1"/>
      </top>
      <bottom style="thin">
        <color auto="1"/>
      </bottom>
      <diagonal/>
    </border>
    <border>
      <left/>
      <right style="medium">
        <color auto="1"/>
      </right>
      <top style="medium">
        <color auto="1"/>
      </top>
      <bottom/>
      <diagonal/>
    </border>
    <border>
      <left style="medium">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medium">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medium">
        <color auto="1"/>
      </left>
      <right/>
      <top style="thin">
        <color auto="1"/>
      </top>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top style="thin">
        <color auto="1"/>
      </top>
      <bottom style="double">
        <color auto="1"/>
      </bottom>
      <diagonal/>
    </border>
    <border>
      <left/>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right style="medium">
        <color auto="1"/>
      </right>
      <top style="medium">
        <color auto="1"/>
      </top>
      <bottom style="thin">
        <color auto="1"/>
      </bottom>
      <diagonal/>
    </border>
    <border>
      <left/>
      <right style="medium">
        <color auto="1"/>
      </right>
      <top/>
      <bottom/>
      <diagonal/>
    </border>
    <border>
      <left/>
      <right style="medium">
        <color auto="1"/>
      </right>
      <top style="thin">
        <color auto="1"/>
      </top>
      <bottom style="medium">
        <color auto="1"/>
      </bottom>
      <diagonal/>
    </border>
    <border>
      <left/>
      <right style="medium">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auto="1"/>
      </left>
      <right style="thin">
        <color auto="1"/>
      </right>
      <top/>
      <bottom style="medium">
        <color auto="1"/>
      </bottom>
      <diagonal/>
    </border>
  </borders>
  <cellStyleXfs count="81">
    <xf numFmtId="0" fontId="0" fillId="0" borderId="0"/>
    <xf numFmtId="164" fontId="63" fillId="0" borderId="0" applyFont="0" applyFill="0" applyBorder="0" applyAlignment="0" applyProtection="0"/>
    <xf numFmtId="9" fontId="63" fillId="0" borderId="0" applyFont="0" applyFill="0" applyBorder="0" applyAlignment="0" applyProtection="0"/>
    <xf numFmtId="0" fontId="63" fillId="0" borderId="0"/>
    <xf numFmtId="0" fontId="152" fillId="0" borderId="0"/>
    <xf numFmtId="0" fontId="63" fillId="0" borderId="0"/>
    <xf numFmtId="0" fontId="151" fillId="0" borderId="0"/>
    <xf numFmtId="0" fontId="63" fillId="0" borderId="0"/>
    <xf numFmtId="0" fontId="63" fillId="0" borderId="0"/>
    <xf numFmtId="9" fontId="63" fillId="0" borderId="0" applyFont="0" applyFill="0" applyBorder="0" applyAlignment="0" applyProtection="0"/>
    <xf numFmtId="164" fontId="63" fillId="0" borderId="0" applyFont="0" applyFill="0" applyBorder="0" applyAlignment="0" applyProtection="0"/>
    <xf numFmtId="9" fontId="63" fillId="0" borderId="0" applyFont="0" applyFill="0" applyBorder="0" applyAlignment="0" applyProtection="0"/>
    <xf numFmtId="164" fontId="63" fillId="0" borderId="0" applyFont="0" applyFill="0" applyBorder="0" applyAlignment="0" applyProtection="0"/>
    <xf numFmtId="164" fontId="63" fillId="0" borderId="0" applyFont="0" applyFill="0" applyBorder="0" applyAlignment="0" applyProtection="0"/>
    <xf numFmtId="0" fontId="151" fillId="0" borderId="0"/>
    <xf numFmtId="0" fontId="63" fillId="0" borderId="0"/>
    <xf numFmtId="0" fontId="63" fillId="0" borderId="0"/>
    <xf numFmtId="9" fontId="63" fillId="0" borderId="0" applyFont="0" applyFill="0" applyBorder="0" applyAlignment="0" applyProtection="0"/>
    <xf numFmtId="0" fontId="3" fillId="0" borderId="0"/>
    <xf numFmtId="0" fontId="171" fillId="0" borderId="0" applyNumberForma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63" fillId="0" borderId="0"/>
    <xf numFmtId="43" fontId="63" fillId="0" borderId="0" applyFont="0" applyFill="0" applyBorder="0" applyAlignment="0" applyProtection="0"/>
    <xf numFmtId="43" fontId="63" fillId="0" borderId="0" applyFont="0" applyFill="0" applyBorder="0" applyAlignment="0" applyProtection="0"/>
    <xf numFmtId="0" fontId="63" fillId="0" borderId="0"/>
    <xf numFmtId="43" fontId="63" fillId="0" borderId="0" applyFont="0" applyFill="0" applyBorder="0" applyAlignment="0" applyProtection="0"/>
    <xf numFmtId="9" fontId="63" fillId="0" borderId="0" applyFont="0" applyFill="0" applyBorder="0" applyAlignment="0" applyProtection="0"/>
    <xf numFmtId="0" fontId="63" fillId="0" borderId="0"/>
    <xf numFmtId="9" fontId="63" fillId="0" borderId="0" applyFont="0" applyFill="0" applyBorder="0" applyAlignment="0" applyProtection="0"/>
    <xf numFmtId="0" fontId="63" fillId="0" borderId="0"/>
    <xf numFmtId="0" fontId="63" fillId="0" borderId="0"/>
    <xf numFmtId="9" fontId="63" fillId="0" borderId="0" applyFont="0" applyFill="0" applyBorder="0" applyAlignment="0" applyProtection="0"/>
    <xf numFmtId="43" fontId="63" fillId="0" borderId="0" applyFont="0" applyFill="0" applyBorder="0" applyAlignment="0" applyProtection="0"/>
    <xf numFmtId="0" fontId="63" fillId="0" borderId="0"/>
    <xf numFmtId="0" fontId="63" fillId="0" borderId="0"/>
    <xf numFmtId="9" fontId="63" fillId="0" borderId="0" applyFont="0" applyFill="0" applyBorder="0" applyAlignment="0" applyProtection="0"/>
    <xf numFmtId="0" fontId="63" fillId="0" borderId="0"/>
    <xf numFmtId="0" fontId="63" fillId="0" borderId="0"/>
    <xf numFmtId="9" fontId="63" fillId="0" borderId="0" applyFont="0" applyFill="0" applyBorder="0" applyAlignment="0" applyProtection="0"/>
    <xf numFmtId="0" fontId="2" fillId="0" borderId="0"/>
    <xf numFmtId="0" fontId="2" fillId="0" borderId="0"/>
    <xf numFmtId="0" fontId="2" fillId="0" borderId="0"/>
    <xf numFmtId="0" fontId="2" fillId="0" borderId="0"/>
    <xf numFmtId="0" fontId="63" fillId="0" borderId="0"/>
    <xf numFmtId="0" fontId="6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3" fillId="0" borderId="0"/>
    <xf numFmtId="0" fontId="63" fillId="0" borderId="0"/>
    <xf numFmtId="43" fontId="63" fillId="0" borderId="0" applyFont="0" applyFill="0" applyBorder="0" applyAlignment="0" applyProtection="0"/>
    <xf numFmtId="0" fontId="63" fillId="0" borderId="0"/>
    <xf numFmtId="0" fontId="63" fillId="0" borderId="0"/>
    <xf numFmtId="9" fontId="63" fillId="0" borderId="0" applyFont="0" applyFill="0" applyBorder="0" applyAlignment="0" applyProtection="0"/>
    <xf numFmtId="9" fontId="63" fillId="0" borderId="0" applyFont="0" applyFill="0" applyBorder="0" applyAlignment="0" applyProtection="0"/>
    <xf numFmtId="0" fontId="63" fillId="0" borderId="0"/>
    <xf numFmtId="43" fontId="63" fillId="0" borderId="0" applyFont="0" applyFill="0" applyBorder="0" applyAlignment="0" applyProtection="0"/>
    <xf numFmtId="9" fontId="63" fillId="0" borderId="0" applyFont="0" applyFill="0" applyBorder="0" applyAlignment="0" applyProtection="0"/>
    <xf numFmtId="0" fontId="63" fillId="0" borderId="0"/>
    <xf numFmtId="9"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0" fontId="63" fillId="0" borderId="0"/>
    <xf numFmtId="43" fontId="63" fillId="0" borderId="0" applyFont="0" applyFill="0" applyBorder="0" applyAlignment="0" applyProtection="0"/>
    <xf numFmtId="0" fontId="63" fillId="0" borderId="0"/>
    <xf numFmtId="0" fontId="63" fillId="0" borderId="0"/>
    <xf numFmtId="43" fontId="63" fillId="0" borderId="0" applyFont="0" applyFill="0" applyBorder="0" applyAlignment="0" applyProtection="0"/>
    <xf numFmtId="0" fontId="63" fillId="0" borderId="0"/>
    <xf numFmtId="9" fontId="63" fillId="0" borderId="0" applyFont="0" applyFill="0" applyBorder="0" applyAlignment="0" applyProtection="0"/>
    <xf numFmtId="0" fontId="63" fillId="0" borderId="0"/>
    <xf numFmtId="0" fontId="183" fillId="0" borderId="0"/>
    <xf numFmtId="0" fontId="1" fillId="0" borderId="0"/>
  </cellStyleXfs>
  <cellXfs count="1716">
    <xf numFmtId="0" fontId="0" fillId="0" borderId="0" xfId="0"/>
    <xf numFmtId="0" fontId="6" fillId="0" borderId="0" xfId="0" applyFont="1" applyAlignment="1">
      <alignment horizont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xf numFmtId="0" fontId="6" fillId="0" borderId="5" xfId="0" applyFont="1" applyBorder="1"/>
    <xf numFmtId="0" fontId="6" fillId="0" borderId="6" xfId="0" applyFont="1" applyBorder="1"/>
    <xf numFmtId="0" fontId="6" fillId="0" borderId="7" xfId="0" applyFont="1" applyBorder="1"/>
    <xf numFmtId="0" fontId="6" fillId="0" borderId="8" xfId="0" applyFont="1" applyBorder="1"/>
    <xf numFmtId="0" fontId="6" fillId="0" borderId="9" xfId="0" applyFont="1" applyBorder="1"/>
    <xf numFmtId="0" fontId="6" fillId="0" borderId="0" xfId="0" applyFont="1"/>
    <xf numFmtId="0" fontId="0" fillId="0" borderId="5" xfId="0" applyBorder="1"/>
    <xf numFmtId="0" fontId="8" fillId="0" borderId="0" xfId="0" applyFont="1"/>
    <xf numFmtId="0" fontId="9" fillId="0" borderId="0" xfId="0" applyFont="1" applyAlignment="1">
      <alignment horizontal="left"/>
    </xf>
    <xf numFmtId="0" fontId="10" fillId="0" borderId="0" xfId="0" applyFont="1" applyAlignment="1">
      <alignment horizontal="center" vertical="top"/>
    </xf>
    <xf numFmtId="0" fontId="11" fillId="0" borderId="0" xfId="0" applyFont="1"/>
    <xf numFmtId="0" fontId="12" fillId="0" borderId="0" xfId="0" applyFont="1" applyAlignment="1">
      <alignment vertical="top"/>
    </xf>
    <xf numFmtId="0" fontId="11" fillId="0" borderId="0" xfId="0" applyFont="1" applyAlignment="1">
      <alignment vertical="top"/>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0" borderId="4" xfId="0" applyFont="1" applyBorder="1" applyAlignment="1">
      <alignment horizontal="center"/>
    </xf>
    <xf numFmtId="0" fontId="11" fillId="0" borderId="10" xfId="0" applyFont="1" applyBorder="1"/>
    <xf numFmtId="0" fontId="11" fillId="0" borderId="11" xfId="0" applyFont="1" applyBorder="1" applyAlignment="1">
      <alignment wrapText="1"/>
    </xf>
    <xf numFmtId="0" fontId="11" fillId="0" borderId="12" xfId="0" applyFont="1" applyBorder="1" applyAlignment="1">
      <alignment wrapText="1"/>
    </xf>
    <xf numFmtId="0" fontId="8" fillId="0" borderId="4" xfId="0" applyFont="1" applyBorder="1" applyAlignment="1">
      <alignment horizontal="center"/>
    </xf>
    <xf numFmtId="0" fontId="8" fillId="0" borderId="5" xfId="0" applyFont="1" applyBorder="1"/>
    <xf numFmtId="2" fontId="8" fillId="0" borderId="5" xfId="0" applyNumberFormat="1" applyFont="1" applyBorder="1"/>
    <xf numFmtId="2" fontId="8" fillId="0" borderId="6" xfId="0" applyNumberFormat="1" applyFont="1" applyBorder="1"/>
    <xf numFmtId="0" fontId="11" fillId="0" borderId="5" xfId="0" applyFont="1" applyBorder="1"/>
    <xf numFmtId="2" fontId="11" fillId="0" borderId="5" xfId="0" applyNumberFormat="1" applyFont="1" applyBorder="1"/>
    <xf numFmtId="2" fontId="11" fillId="0" borderId="6" xfId="0" applyNumberFormat="1" applyFont="1" applyBorder="1"/>
    <xf numFmtId="0" fontId="11" fillId="0" borderId="13" xfId="0" applyFont="1" applyBorder="1"/>
    <xf numFmtId="2" fontId="11" fillId="0" borderId="14" xfId="0" applyNumberFormat="1" applyFont="1" applyBorder="1"/>
    <xf numFmtId="2" fontId="11" fillId="0" borderId="15" xfId="0" applyNumberFormat="1" applyFont="1" applyBorder="1"/>
    <xf numFmtId="0" fontId="8" fillId="0" borderId="13" xfId="0" applyFont="1" applyBorder="1"/>
    <xf numFmtId="2" fontId="8" fillId="0" borderId="15" xfId="0" applyNumberFormat="1" applyFont="1" applyBorder="1"/>
    <xf numFmtId="0" fontId="8" fillId="0" borderId="6" xfId="0" applyFont="1" applyBorder="1"/>
    <xf numFmtId="0" fontId="8" fillId="0" borderId="7" xfId="0" applyFont="1" applyBorder="1" applyAlignment="1">
      <alignment horizontal="center"/>
    </xf>
    <xf numFmtId="0" fontId="11" fillId="0" borderId="8" xfId="0" applyFont="1" applyBorder="1"/>
    <xf numFmtId="2" fontId="11" fillId="0" borderId="8" xfId="0" applyNumberFormat="1" applyFont="1" applyBorder="1"/>
    <xf numFmtId="2" fontId="11" fillId="0" borderId="9" xfId="0" applyNumberFormat="1" applyFont="1" applyBorder="1"/>
    <xf numFmtId="0" fontId="8" fillId="0" borderId="1" xfId="0" applyFont="1" applyBorder="1"/>
    <xf numFmtId="0" fontId="8" fillId="0" borderId="2" xfId="0" applyFont="1" applyBorder="1"/>
    <xf numFmtId="2" fontId="8" fillId="0" borderId="2" xfId="0" applyNumberFormat="1" applyFont="1" applyBorder="1"/>
    <xf numFmtId="2" fontId="8" fillId="0" borderId="3" xfId="0" applyNumberFormat="1" applyFont="1" applyBorder="1"/>
    <xf numFmtId="0" fontId="11" fillId="0" borderId="7" xfId="0" applyFont="1" applyBorder="1"/>
    <xf numFmtId="2" fontId="11" fillId="0" borderId="16" xfId="0" applyNumberFormat="1" applyFont="1" applyBorder="1"/>
    <xf numFmtId="2" fontId="11" fillId="0" borderId="0" xfId="0" applyNumberFormat="1" applyFont="1"/>
    <xf numFmtId="0" fontId="11" fillId="3" borderId="1" xfId="0" applyFont="1" applyFill="1" applyBorder="1" applyAlignment="1">
      <alignment horizontal="center" vertical="center"/>
    </xf>
    <xf numFmtId="0" fontId="11" fillId="0" borderId="2" xfId="0" applyFont="1" applyBorder="1" applyAlignment="1">
      <alignment horizontal="center" vertical="center"/>
    </xf>
    <xf numFmtId="0" fontId="11" fillId="3" borderId="2" xfId="0" applyFont="1" applyFill="1" applyBorder="1" applyAlignment="1">
      <alignment horizontal="center" vertical="top" wrapText="1"/>
    </xf>
    <xf numFmtId="0" fontId="11" fillId="3" borderId="3" xfId="0" applyFont="1" applyFill="1" applyBorder="1" applyAlignment="1">
      <alignment horizontal="center" vertical="top" wrapText="1"/>
    </xf>
    <xf numFmtId="0" fontId="11" fillId="2" borderId="4" xfId="0" applyFont="1" applyFill="1" applyBorder="1" applyAlignment="1">
      <alignment horizontal="center"/>
    </xf>
    <xf numFmtId="2" fontId="8" fillId="0" borderId="5" xfId="0" applyNumberFormat="1" applyFont="1" applyBorder="1" applyAlignment="1">
      <alignment wrapText="1"/>
    </xf>
    <xf numFmtId="2" fontId="13" fillId="0" borderId="5" xfId="0" applyNumberFormat="1" applyFont="1" applyBorder="1"/>
    <xf numFmtId="0" fontId="11" fillId="2" borderId="17" xfId="0" applyFont="1" applyFill="1" applyBorder="1" applyAlignment="1">
      <alignment vertical="center"/>
    </xf>
    <xf numFmtId="0" fontId="8" fillId="2" borderId="5" xfId="0" applyFont="1" applyFill="1" applyBorder="1"/>
    <xf numFmtId="0" fontId="8" fillId="2" borderId="6" xfId="0" applyFont="1" applyFill="1" applyBorder="1"/>
    <xf numFmtId="2" fontId="8" fillId="0" borderId="0" xfId="0" applyNumberFormat="1" applyFont="1"/>
    <xf numFmtId="0" fontId="8" fillId="0" borderId="4" xfId="0" applyFont="1" applyBorder="1"/>
    <xf numFmtId="0" fontId="11" fillId="2" borderId="5" xfId="0" applyFont="1" applyFill="1" applyBorder="1"/>
    <xf numFmtId="2" fontId="11" fillId="2" borderId="5" xfId="0" applyNumberFormat="1" applyFont="1" applyFill="1" applyBorder="1"/>
    <xf numFmtId="0" fontId="14" fillId="0" borderId="0" xfId="0" applyFont="1" applyAlignment="1">
      <alignment horizontal="center" vertical="top"/>
    </xf>
    <xf numFmtId="0" fontId="6" fillId="0" borderId="0" xfId="0" applyFont="1" applyAlignment="1">
      <alignment horizontal="right"/>
    </xf>
    <xf numFmtId="0" fontId="6" fillId="0" borderId="14" xfId="0" applyFont="1" applyBorder="1"/>
    <xf numFmtId="0" fontId="6" fillId="0" borderId="18" xfId="0" applyFont="1" applyBorder="1"/>
    <xf numFmtId="0" fontId="6" fillId="0" borderId="5" xfId="0" applyFont="1" applyBorder="1" applyAlignment="1">
      <alignment vertical="center"/>
    </xf>
    <xf numFmtId="0" fontId="6" fillId="0" borderId="5" xfId="0" applyFont="1" applyBorder="1" applyAlignment="1">
      <alignment horizontal="center" vertical="center"/>
    </xf>
    <xf numFmtId="0" fontId="0" fillId="0" borderId="0" xfId="0" applyAlignment="1">
      <alignment horizontal="center" vertical="center"/>
    </xf>
    <xf numFmtId="0" fontId="15" fillId="0" borderId="0" xfId="0" applyFont="1" applyAlignment="1">
      <alignment horizontal="center"/>
    </xf>
    <xf numFmtId="0" fontId="14" fillId="0" borderId="0" xfId="0" applyFont="1" applyAlignment="1">
      <alignment vertical="top"/>
    </xf>
    <xf numFmtId="0" fontId="15" fillId="0" borderId="20" xfId="0" applyFont="1" applyBorder="1" applyAlignment="1">
      <alignment horizontal="center"/>
    </xf>
    <xf numFmtId="0" fontId="15" fillId="0" borderId="5" xfId="0" applyFont="1" applyBorder="1" applyAlignment="1">
      <alignment horizontal="center"/>
    </xf>
    <xf numFmtId="0" fontId="0" fillId="0" borderId="5" xfId="0" applyBorder="1" applyAlignment="1">
      <alignment vertical="center"/>
    </xf>
    <xf numFmtId="0" fontId="15" fillId="0" borderId="5" xfId="0" applyFont="1" applyBorder="1" applyAlignment="1">
      <alignment horizontal="center" vertical="center"/>
    </xf>
    <xf numFmtId="0" fontId="6" fillId="0" borderId="17" xfId="0" applyFont="1" applyBorder="1" applyAlignment="1">
      <alignment horizontal="center" vertical="center"/>
    </xf>
    <xf numFmtId="0" fontId="15" fillId="0" borderId="5" xfId="0" applyFont="1" applyBorder="1" applyAlignment="1">
      <alignment vertical="center"/>
    </xf>
    <xf numFmtId="0" fontId="15" fillId="0" borderId="0" xfId="0" applyFont="1" applyAlignment="1">
      <alignment horizontal="right"/>
    </xf>
    <xf numFmtId="0" fontId="16" fillId="0" borderId="0" xfId="0" applyFont="1" applyAlignment="1">
      <alignment vertical="top"/>
    </xf>
    <xf numFmtId="0" fontId="17" fillId="0" borderId="0" xfId="0" applyFont="1"/>
    <xf numFmtId="0" fontId="17" fillId="0" borderId="0" xfId="0" applyFont="1" applyAlignment="1">
      <alignment horizontal="center"/>
    </xf>
    <xf numFmtId="0" fontId="19" fillId="0" borderId="10" xfId="0" applyFont="1" applyBorder="1" applyAlignment="1">
      <alignment vertical="top" wrapText="1"/>
    </xf>
    <xf numFmtId="0" fontId="19" fillId="0" borderId="5" xfId="0" applyFont="1" applyBorder="1" applyAlignment="1">
      <alignment horizontal="left" vertical="top" wrapText="1"/>
    </xf>
    <xf numFmtId="0" fontId="6" fillId="0" borderId="5" xfId="0" applyFont="1" applyBorder="1" applyAlignment="1">
      <alignment horizontal="left" vertical="top"/>
    </xf>
    <xf numFmtId="0" fontId="20" fillId="0" borderId="0" xfId="0" applyFont="1" applyAlignment="1">
      <alignment horizontal="center" vertical="top"/>
    </xf>
    <xf numFmtId="0" fontId="19" fillId="0" borderId="23" xfId="0" applyFont="1" applyBorder="1" applyAlignment="1">
      <alignment horizontal="center" vertical="top" wrapText="1"/>
    </xf>
    <xf numFmtId="0" fontId="21" fillId="0" borderId="4" xfId="0" applyFont="1" applyBorder="1" applyAlignment="1">
      <alignment horizontal="center" vertical="top" wrapText="1"/>
    </xf>
    <xf numFmtId="0" fontId="21" fillId="0" borderId="5" xfId="0" applyFont="1" applyBorder="1" applyAlignment="1">
      <alignment horizontal="justify" vertical="top" wrapText="1"/>
    </xf>
    <xf numFmtId="0" fontId="21" fillId="0" borderId="6" xfId="0" applyFont="1" applyBorder="1" applyAlignment="1">
      <alignment horizontal="justify" vertical="top" wrapText="1"/>
    </xf>
    <xf numFmtId="0" fontId="0" fillId="0" borderId="4" xfId="0" applyBorder="1"/>
    <xf numFmtId="0" fontId="22" fillId="0" borderId="4" xfId="0" applyFont="1" applyBorder="1" applyAlignment="1">
      <alignment horizontal="justify"/>
    </xf>
    <xf numFmtId="0" fontId="0" fillId="0" borderId="6" xfId="0" applyBorder="1"/>
    <xf numFmtId="0" fontId="25" fillId="4" borderId="0" xfId="0" applyFont="1" applyFill="1"/>
    <xf numFmtId="0" fontId="25" fillId="0" borderId="0" xfId="0" applyFont="1"/>
    <xf numFmtId="0" fontId="25" fillId="0" borderId="0" xfId="0" applyFont="1" applyAlignment="1">
      <alignment horizontal="fill"/>
    </xf>
    <xf numFmtId="0" fontId="25" fillId="0" borderId="26" xfId="0" applyFont="1" applyBorder="1" applyAlignment="1">
      <alignment vertical="top"/>
    </xf>
    <xf numFmtId="0" fontId="25" fillId="0" borderId="26" xfId="0" applyFont="1" applyBorder="1" applyAlignment="1">
      <alignment vertical="center"/>
    </xf>
    <xf numFmtId="0" fontId="12" fillId="0" borderId="26" xfId="0" applyFont="1" applyBorder="1" applyAlignment="1">
      <alignment horizontal="center" vertical="top" wrapText="1"/>
    </xf>
    <xf numFmtId="0" fontId="25" fillId="0" borderId="5" xfId="0" applyFont="1" applyBorder="1" applyAlignment="1">
      <alignment horizontal="center"/>
    </xf>
    <xf numFmtId="0" fontId="12" fillId="2" borderId="5" xfId="0" applyFont="1" applyFill="1" applyBorder="1" applyAlignment="1">
      <alignment horizontal="left"/>
    </xf>
    <xf numFmtId="165" fontId="25" fillId="0" borderId="5" xfId="0" applyNumberFormat="1" applyFont="1" applyBorder="1"/>
    <xf numFmtId="0" fontId="25" fillId="0" borderId="5" xfId="0" applyFont="1" applyBorder="1"/>
    <xf numFmtId="0" fontId="25" fillId="0" borderId="5" xfId="0" applyFont="1" applyBorder="1" applyAlignment="1">
      <alignment horizontal="left"/>
    </xf>
    <xf numFmtId="165" fontId="25" fillId="0" borderId="5" xfId="0" applyNumberFormat="1" applyFont="1" applyBorder="1" applyAlignment="1">
      <alignment horizontal="right"/>
    </xf>
    <xf numFmtId="2" fontId="25" fillId="0" borderId="5" xfId="0" applyNumberFormat="1" applyFont="1" applyBorder="1" applyAlignment="1">
      <alignment vertical="center"/>
    </xf>
    <xf numFmtId="0" fontId="25" fillId="2" borderId="5" xfId="0" applyFont="1" applyFill="1" applyBorder="1" applyAlignment="1">
      <alignment horizontal="left"/>
    </xf>
    <xf numFmtId="2" fontId="25" fillId="0" borderId="17" xfId="0" applyNumberFormat="1" applyFont="1" applyBorder="1" applyAlignment="1">
      <alignment vertical="center"/>
    </xf>
    <xf numFmtId="165" fontId="25" fillId="0" borderId="5" xfId="0" applyNumberFormat="1" applyFont="1" applyBorder="1" applyAlignment="1">
      <alignment vertical="center"/>
    </xf>
    <xf numFmtId="165" fontId="25" fillId="2" borderId="5" xfId="0" applyNumberFormat="1" applyFont="1" applyFill="1" applyBorder="1" applyAlignment="1">
      <alignment horizontal="right"/>
    </xf>
    <xf numFmtId="165" fontId="25" fillId="2" borderId="5" xfId="0" applyNumberFormat="1" applyFont="1" applyFill="1" applyBorder="1"/>
    <xf numFmtId="0" fontId="12" fillId="0" borderId="5" xfId="0" applyFont="1" applyBorder="1" applyAlignment="1">
      <alignment horizontal="left"/>
    </xf>
    <xf numFmtId="0" fontId="25" fillId="0" borderId="5" xfId="0" applyFont="1" applyBorder="1" applyAlignment="1">
      <alignment horizontal="left" vertical="top" wrapText="1"/>
    </xf>
    <xf numFmtId="0" fontId="25" fillId="4" borderId="5" xfId="0" applyFont="1" applyFill="1" applyBorder="1"/>
    <xf numFmtId="0" fontId="12" fillId="4" borderId="5" xfId="0" applyFont="1" applyFill="1" applyBorder="1"/>
    <xf numFmtId="165" fontId="25" fillId="4" borderId="5" xfId="0" applyNumberFormat="1" applyFont="1" applyFill="1" applyBorder="1" applyAlignment="1">
      <alignment horizontal="right"/>
    </xf>
    <xf numFmtId="165" fontId="25" fillId="4" borderId="5" xfId="0" applyNumberFormat="1" applyFont="1" applyFill="1" applyBorder="1"/>
    <xf numFmtId="0" fontId="12" fillId="2" borderId="5" xfId="0" applyFont="1" applyFill="1" applyBorder="1"/>
    <xf numFmtId="0" fontId="25" fillId="4" borderId="5" xfId="0" applyFont="1" applyFill="1" applyBorder="1" applyAlignment="1">
      <alignment horizontal="center"/>
    </xf>
    <xf numFmtId="0" fontId="12" fillId="4" borderId="5" xfId="0" applyFont="1" applyFill="1" applyBorder="1" applyAlignment="1">
      <alignment horizontal="left"/>
    </xf>
    <xf numFmtId="0" fontId="12" fillId="0" borderId="5" xfId="0" applyFont="1" applyBorder="1"/>
    <xf numFmtId="0" fontId="12" fillId="0" borderId="5" xfId="0" applyFont="1" applyBorder="1" applyAlignment="1">
      <alignment horizontal="center"/>
    </xf>
    <xf numFmtId="165" fontId="12" fillId="0" borderId="5" xfId="0" applyNumberFormat="1" applyFont="1" applyBorder="1" applyAlignment="1">
      <alignment horizontal="right"/>
    </xf>
    <xf numFmtId="0" fontId="12" fillId="0" borderId="0" xfId="0" applyFont="1"/>
    <xf numFmtId="0" fontId="12" fillId="0" borderId="0" xfId="0" applyFont="1" applyAlignment="1">
      <alignment horizontal="right"/>
    </xf>
    <xf numFmtId="165" fontId="12" fillId="0" borderId="0" xfId="0" applyNumberFormat="1" applyFont="1" applyAlignment="1">
      <alignment horizontal="right"/>
    </xf>
    <xf numFmtId="165" fontId="12" fillId="0" borderId="0" xfId="0" applyNumberFormat="1" applyFont="1"/>
    <xf numFmtId="2" fontId="25" fillId="0" borderId="0" xfId="0" applyNumberFormat="1" applyFont="1" applyAlignment="1">
      <alignment horizontal="right"/>
    </xf>
    <xf numFmtId="0" fontId="25" fillId="0" borderId="0" xfId="0" applyFont="1" applyAlignment="1">
      <alignment horizontal="right"/>
    </xf>
    <xf numFmtId="2" fontId="25" fillId="0" borderId="0" xfId="0" applyNumberFormat="1" applyFont="1"/>
    <xf numFmtId="165" fontId="25" fillId="0" borderId="0" xfId="0" applyNumberFormat="1" applyFont="1"/>
    <xf numFmtId="0" fontId="27" fillId="0" borderId="0" xfId="0" applyFont="1"/>
    <xf numFmtId="0" fontId="27" fillId="0" borderId="0" xfId="0" applyFont="1" applyAlignment="1">
      <alignment horizontal="right"/>
    </xf>
    <xf numFmtId="0" fontId="27" fillId="0" borderId="0" xfId="0" applyFont="1" applyAlignment="1">
      <alignment horizontal="left"/>
    </xf>
    <xf numFmtId="0" fontId="12" fillId="0" borderId="27" xfId="0" applyFont="1" applyBorder="1" applyAlignment="1">
      <alignment horizontal="center"/>
    </xf>
    <xf numFmtId="0" fontId="12" fillId="0" borderId="25" xfId="0" applyFont="1" applyBorder="1" applyAlignment="1">
      <alignment horizontal="center"/>
    </xf>
    <xf numFmtId="0" fontId="12" fillId="0" borderId="26" xfId="0" applyFont="1" applyBorder="1" applyAlignment="1">
      <alignment horizontal="center"/>
    </xf>
    <xf numFmtId="0" fontId="28" fillId="0" borderId="5" xfId="0" applyFont="1" applyBorder="1" applyAlignment="1">
      <alignment horizontal="center"/>
    </xf>
    <xf numFmtId="2" fontId="25" fillId="0" borderId="5" xfId="0" applyNumberFormat="1" applyFont="1" applyBorder="1" applyAlignment="1">
      <alignment horizontal="right"/>
    </xf>
    <xf numFmtId="17" fontId="25" fillId="0" borderId="5" xfId="0" applyNumberFormat="1" applyFont="1" applyBorder="1" applyAlignment="1">
      <alignment horizontal="center"/>
    </xf>
    <xf numFmtId="166" fontId="29" fillId="4" borderId="5" xfId="0" applyNumberFormat="1" applyFont="1" applyFill="1" applyBorder="1"/>
    <xf numFmtId="40" fontId="25" fillId="4" borderId="5" xfId="0" applyNumberFormat="1" applyFont="1" applyFill="1" applyBorder="1"/>
    <xf numFmtId="0" fontId="30" fillId="0" borderId="0" xfId="0" applyFont="1" applyAlignment="1">
      <alignment horizontal="left"/>
    </xf>
    <xf numFmtId="0" fontId="30" fillId="0" borderId="0" xfId="0" applyFont="1"/>
    <xf numFmtId="165" fontId="30" fillId="0" borderId="0" xfId="0" applyNumberFormat="1" applyFont="1" applyAlignment="1">
      <alignment horizontal="right"/>
    </xf>
    <xf numFmtId="165" fontId="30" fillId="0" borderId="0" xfId="0" applyNumberFormat="1" applyFont="1"/>
    <xf numFmtId="165" fontId="27" fillId="0" borderId="0" xfId="0" applyNumberFormat="1" applyFont="1" applyAlignment="1">
      <alignment horizontal="right"/>
    </xf>
    <xf numFmtId="0" fontId="28" fillId="0" borderId="0" xfId="0" applyFont="1"/>
    <xf numFmtId="0" fontId="32" fillId="0" borderId="0" xfId="7" applyFont="1" applyAlignment="1">
      <alignment horizontal="center" vertical="center"/>
    </xf>
    <xf numFmtId="0" fontId="32" fillId="0" borderId="0" xfId="7" applyFont="1" applyAlignment="1">
      <alignment vertical="center"/>
    </xf>
    <xf numFmtId="0" fontId="33" fillId="0" borderId="0" xfId="0" applyFont="1" applyAlignment="1">
      <alignment horizontal="center"/>
    </xf>
    <xf numFmtId="0" fontId="34" fillId="0" borderId="0" xfId="0" applyFont="1"/>
    <xf numFmtId="0" fontId="35" fillId="0" borderId="0" xfId="0" applyFont="1" applyAlignment="1">
      <alignment horizontal="right"/>
    </xf>
    <xf numFmtId="0" fontId="28" fillId="0" borderId="13" xfId="0" applyFont="1" applyBorder="1"/>
    <xf numFmtId="0" fontId="28" fillId="0" borderId="14" xfId="0" applyFont="1" applyBorder="1"/>
    <xf numFmtId="0" fontId="28" fillId="0" borderId="18" xfId="0" applyFont="1" applyBorder="1"/>
    <xf numFmtId="0" fontId="34" fillId="0" borderId="28" xfId="0" applyFont="1" applyBorder="1"/>
    <xf numFmtId="0" fontId="28" fillId="0" borderId="29" xfId="0" applyFont="1" applyBorder="1"/>
    <xf numFmtId="0" fontId="36" fillId="0" borderId="28" xfId="0" applyFont="1" applyBorder="1"/>
    <xf numFmtId="0" fontId="28" fillId="0" borderId="19" xfId="0" applyFont="1" applyBorder="1"/>
    <xf numFmtId="0" fontId="28" fillId="0" borderId="28" xfId="0" applyFont="1" applyBorder="1"/>
    <xf numFmtId="0" fontId="28" fillId="0" borderId="30" xfId="0" applyFont="1" applyBorder="1"/>
    <xf numFmtId="0" fontId="28" fillId="0" borderId="20" xfId="0" applyFont="1" applyBorder="1"/>
    <xf numFmtId="0" fontId="28" fillId="0" borderId="31" xfId="0" applyFont="1" applyBorder="1"/>
    <xf numFmtId="0" fontId="15" fillId="0" borderId="0" xfId="0" applyFont="1" applyAlignment="1">
      <alignment horizontal="right" vertical="center"/>
    </xf>
    <xf numFmtId="0" fontId="41" fillId="0" borderId="26" xfId="0" applyFont="1" applyBorder="1" applyAlignment="1">
      <alignment horizontal="center" vertical="center"/>
    </xf>
    <xf numFmtId="0" fontId="42" fillId="0" borderId="26" xfId="0" applyFont="1" applyBorder="1" applyAlignment="1">
      <alignment horizontal="center" vertical="center" wrapText="1"/>
    </xf>
    <xf numFmtId="0" fontId="42" fillId="0" borderId="5" xfId="0" applyFont="1" applyBorder="1" applyAlignment="1">
      <alignment horizontal="center" vertical="center" wrapText="1"/>
    </xf>
    <xf numFmtId="0" fontId="41" fillId="0" borderId="5" xfId="0" applyFont="1" applyBorder="1" applyAlignment="1">
      <alignment horizontal="center"/>
    </xf>
    <xf numFmtId="0" fontId="42" fillId="0" borderId="5" xfId="0" applyFont="1" applyBorder="1" applyAlignment="1">
      <alignment horizontal="left" wrapText="1"/>
    </xf>
    <xf numFmtId="0" fontId="42" fillId="0" borderId="5" xfId="0" applyFont="1" applyBorder="1" applyAlignment="1">
      <alignment vertical="center" wrapText="1"/>
    </xf>
    <xf numFmtId="0" fontId="9" fillId="0" borderId="5" xfId="0" applyFont="1" applyBorder="1" applyAlignment="1">
      <alignment vertical="center" wrapText="1"/>
    </xf>
    <xf numFmtId="0" fontId="43" fillId="0" borderId="5" xfId="0" applyFont="1" applyBorder="1" applyAlignment="1">
      <alignment vertical="center" wrapText="1"/>
    </xf>
    <xf numFmtId="0" fontId="9" fillId="0" borderId="5" xfId="0" applyFont="1" applyBorder="1" applyAlignment="1">
      <alignment horizontal="left" wrapText="1"/>
    </xf>
    <xf numFmtId="0" fontId="41" fillId="0" borderId="5" xfId="0" applyFont="1" applyBorder="1"/>
    <xf numFmtId="0" fontId="44" fillId="0" borderId="5" xfId="0" applyFont="1" applyBorder="1"/>
    <xf numFmtId="0" fontId="37" fillId="0" borderId="0" xfId="7" applyFont="1" applyAlignment="1">
      <alignment vertical="center"/>
    </xf>
    <xf numFmtId="0" fontId="45" fillId="0" borderId="0" xfId="7" applyFont="1"/>
    <xf numFmtId="0" fontId="46" fillId="0" borderId="0" xfId="7" applyFont="1" applyAlignment="1">
      <alignment horizontal="center"/>
    </xf>
    <xf numFmtId="0" fontId="45" fillId="0" borderId="0" xfId="7" applyFont="1" applyAlignment="1">
      <alignment horizontal="center"/>
    </xf>
    <xf numFmtId="0" fontId="46" fillId="2" borderId="5" xfId="7" applyFont="1" applyFill="1" applyBorder="1" applyAlignment="1">
      <alignment horizontal="center" vertical="center" wrapText="1"/>
    </xf>
    <xf numFmtId="0" fontId="46" fillId="2" borderId="5" xfId="7" applyFont="1" applyFill="1" applyBorder="1" applyAlignment="1">
      <alignment horizontal="center" vertical="center"/>
    </xf>
    <xf numFmtId="0" fontId="45" fillId="0" borderId="5" xfId="7" applyFont="1" applyBorder="1" applyAlignment="1">
      <alignment horizontal="center"/>
    </xf>
    <xf numFmtId="0" fontId="25" fillId="0" borderId="5" xfId="14" applyFont="1" applyBorder="1" applyAlignment="1">
      <alignment vertical="top" wrapText="1"/>
    </xf>
    <xf numFmtId="0" fontId="8" fillId="0" borderId="5" xfId="0" applyFont="1" applyBorder="1" applyAlignment="1">
      <alignment horizontal="center"/>
    </xf>
    <xf numFmtId="2" fontId="45" fillId="0" borderId="5" xfId="7" applyNumberFormat="1" applyFont="1" applyBorder="1" applyAlignment="1">
      <alignment vertical="center"/>
    </xf>
    <xf numFmtId="0" fontId="45" fillId="0" borderId="5" xfId="7" applyFont="1" applyBorder="1" applyAlignment="1">
      <alignment horizontal="center" vertical="center"/>
    </xf>
    <xf numFmtId="0" fontId="25" fillId="0" borderId="5" xfId="14" applyFont="1" applyBorder="1" applyAlignment="1">
      <alignment horizontal="left" vertical="top"/>
    </xf>
    <xf numFmtId="0" fontId="25" fillId="0" borderId="5" xfId="14" applyFont="1" applyBorder="1" applyAlignment="1">
      <alignment horizontal="left" vertical="top" wrapText="1"/>
    </xf>
    <xf numFmtId="0" fontId="8" fillId="0" borderId="5" xfId="0" applyFont="1" applyBorder="1" applyAlignment="1">
      <alignment wrapText="1"/>
    </xf>
    <xf numFmtId="0" fontId="8" fillId="0" borderId="5" xfId="0" applyFont="1" applyBorder="1" applyAlignment="1">
      <alignment horizontal="center" vertical="center"/>
    </xf>
    <xf numFmtId="0" fontId="45" fillId="0" borderId="0" xfId="7" applyFont="1" applyAlignment="1">
      <alignment wrapText="1"/>
    </xf>
    <xf numFmtId="0" fontId="45" fillId="0" borderId="5" xfId="7" applyFont="1" applyBorder="1"/>
    <xf numFmtId="0" fontId="46" fillId="0" borderId="5" xfId="7" applyFont="1" applyBorder="1"/>
    <xf numFmtId="2" fontId="46" fillId="0" borderId="5" xfId="7" applyNumberFormat="1" applyFont="1" applyBorder="1" applyAlignment="1">
      <alignment vertical="center"/>
    </xf>
    <xf numFmtId="0" fontId="0" fillId="0" borderId="0" xfId="0" applyAlignment="1">
      <alignment horizontal="center"/>
    </xf>
    <xf numFmtId="0" fontId="52" fillId="0" borderId="0" xfId="0" applyFont="1" applyAlignment="1">
      <alignment horizontal="center" vertical="top"/>
    </xf>
    <xf numFmtId="0" fontId="52" fillId="0" borderId="0" xfId="0" applyFont="1" applyAlignment="1">
      <alignment vertical="top"/>
    </xf>
    <xf numFmtId="0" fontId="53" fillId="2" borderId="5" xfId="0" applyFont="1" applyFill="1" applyBorder="1" applyAlignment="1">
      <alignment horizontal="center" vertical="center" wrapText="1"/>
    </xf>
    <xf numFmtId="0" fontId="53" fillId="2" borderId="26" xfId="0" applyFont="1" applyFill="1" applyBorder="1" applyAlignment="1">
      <alignment horizontal="center" vertical="top" wrapText="1"/>
    </xf>
    <xf numFmtId="0" fontId="53" fillId="0" borderId="26" xfId="0" applyFont="1" applyBorder="1" applyAlignment="1">
      <alignment horizontal="center" vertical="top" wrapText="1"/>
    </xf>
    <xf numFmtId="0" fontId="53" fillId="0" borderId="26" xfId="0" applyFont="1" applyBorder="1" applyAlignment="1">
      <alignment horizontal="left" vertical="top" wrapText="1"/>
    </xf>
    <xf numFmtId="0" fontId="52" fillId="0" borderId="5" xfId="0" applyFont="1" applyBorder="1" applyAlignment="1">
      <alignment horizontal="center" vertical="top" wrapText="1"/>
    </xf>
    <xf numFmtId="0" fontId="53" fillId="0" borderId="5" xfId="0" applyFont="1" applyBorder="1" applyAlignment="1">
      <alignment vertical="top" wrapText="1"/>
    </xf>
    <xf numFmtId="2" fontId="53" fillId="0" borderId="5" xfId="0" applyNumberFormat="1" applyFont="1" applyBorder="1" applyAlignment="1">
      <alignment vertical="top" wrapText="1"/>
    </xf>
    <xf numFmtId="0" fontId="6" fillId="0" borderId="5" xfId="0" applyFont="1" applyBorder="1" applyAlignment="1">
      <alignment horizontal="left"/>
    </xf>
    <xf numFmtId="0" fontId="53" fillId="0" borderId="5" xfId="0" applyFont="1" applyBorder="1" applyAlignment="1">
      <alignment horizontal="center" vertical="top" wrapText="1"/>
    </xf>
    <xf numFmtId="2" fontId="53" fillId="0" borderId="5" xfId="0" applyNumberFormat="1" applyFont="1" applyBorder="1" applyAlignment="1">
      <alignment horizontal="right" vertical="top" wrapText="1"/>
    </xf>
    <xf numFmtId="0" fontId="53" fillId="3" borderId="5" xfId="0" applyFont="1" applyFill="1" applyBorder="1" applyAlignment="1">
      <alignment vertical="top" wrapText="1"/>
    </xf>
    <xf numFmtId="0" fontId="53" fillId="3" borderId="5" xfId="0" applyFont="1" applyFill="1" applyBorder="1" applyAlignment="1">
      <alignment horizontal="left" vertical="top" wrapText="1"/>
    </xf>
    <xf numFmtId="2" fontId="53" fillId="3" borderId="5" xfId="0" applyNumberFormat="1" applyFont="1" applyFill="1" applyBorder="1" applyAlignment="1">
      <alignment horizontal="right" vertical="top" wrapText="1"/>
    </xf>
    <xf numFmtId="0" fontId="54" fillId="0" borderId="5" xfId="0" applyFont="1" applyBorder="1"/>
    <xf numFmtId="0" fontId="55" fillId="0" borderId="5" xfId="0" applyFont="1" applyBorder="1"/>
    <xf numFmtId="2" fontId="55" fillId="0" borderId="5" xfId="0" applyNumberFormat="1" applyFont="1" applyBorder="1" applyAlignment="1">
      <alignment horizontal="right"/>
    </xf>
    <xf numFmtId="0" fontId="56" fillId="0" borderId="5" xfId="0" applyFont="1" applyBorder="1" applyAlignment="1">
      <alignment horizontal="center" vertical="top" wrapText="1"/>
    </xf>
    <xf numFmtId="0" fontId="57" fillId="0" borderId="5" xfId="0" applyFont="1" applyBorder="1" applyAlignment="1">
      <alignment horizontal="center" vertical="top" wrapText="1"/>
    </xf>
    <xf numFmtId="0" fontId="56" fillId="0" borderId="5" xfId="0" applyFont="1" applyBorder="1" applyAlignment="1">
      <alignment horizontal="left" vertical="top" wrapText="1"/>
    </xf>
    <xf numFmtId="2" fontId="56" fillId="0" borderId="5" xfId="0" applyNumberFormat="1" applyFont="1" applyBorder="1" applyAlignment="1">
      <alignment horizontal="right" vertical="top" wrapText="1"/>
    </xf>
    <xf numFmtId="0" fontId="56" fillId="3" borderId="5" xfId="0" applyFont="1" applyFill="1" applyBorder="1" applyAlignment="1">
      <alignment horizontal="center" vertical="top" wrapText="1"/>
    </xf>
    <xf numFmtId="0" fontId="56" fillId="3" borderId="5" xfId="0" applyFont="1" applyFill="1" applyBorder="1" applyAlignment="1">
      <alignment horizontal="left" vertical="top" wrapText="1"/>
    </xf>
    <xf numFmtId="2" fontId="56" fillId="3" borderId="5" xfId="0" applyNumberFormat="1" applyFont="1" applyFill="1" applyBorder="1" applyAlignment="1">
      <alignment horizontal="right" vertical="top" wrapText="1"/>
    </xf>
    <xf numFmtId="0" fontId="56" fillId="0" borderId="5" xfId="0" applyFont="1" applyBorder="1" applyAlignment="1">
      <alignment vertical="top" wrapText="1"/>
    </xf>
    <xf numFmtId="2" fontId="56" fillId="0" borderId="5" xfId="0" applyNumberFormat="1" applyFont="1" applyBorder="1" applyAlignment="1">
      <alignment vertical="top" wrapText="1"/>
    </xf>
    <xf numFmtId="0" fontId="55" fillId="0" borderId="5" xfId="0" applyFont="1" applyBorder="1" applyAlignment="1">
      <alignment horizontal="right"/>
    </xf>
    <xf numFmtId="0" fontId="58" fillId="0" borderId="5" xfId="0" applyFont="1" applyBorder="1" applyAlignment="1">
      <alignment horizontal="left" vertical="top" wrapText="1"/>
    </xf>
    <xf numFmtId="2" fontId="58" fillId="0" borderId="5" xfId="0" applyNumberFormat="1" applyFont="1" applyBorder="1" applyAlignment="1">
      <alignment horizontal="right" vertical="top" wrapText="1"/>
    </xf>
    <xf numFmtId="0" fontId="56" fillId="0" borderId="5" xfId="0" applyFont="1" applyBorder="1" applyAlignment="1">
      <alignment horizontal="center" vertical="center" wrapText="1"/>
    </xf>
    <xf numFmtId="0" fontId="56" fillId="0" borderId="5" xfId="0" applyFont="1" applyBorder="1" applyAlignment="1">
      <alignment vertical="center" wrapText="1"/>
    </xf>
    <xf numFmtId="2" fontId="56" fillId="0" borderId="5" xfId="0" applyNumberFormat="1" applyFont="1" applyBorder="1" applyAlignment="1">
      <alignment vertical="center" wrapText="1"/>
    </xf>
    <xf numFmtId="2" fontId="56" fillId="0" borderId="5" xfId="0" applyNumberFormat="1" applyFont="1" applyBorder="1" applyAlignment="1">
      <alignment horizontal="right" vertical="center" wrapText="1"/>
    </xf>
    <xf numFmtId="0" fontId="56" fillId="0" borderId="0" xfId="0" applyFont="1" applyAlignment="1">
      <alignment horizontal="center" vertical="center" wrapText="1"/>
    </xf>
    <xf numFmtId="0" fontId="56" fillId="0" borderId="0" xfId="0" applyFont="1" applyAlignment="1">
      <alignment vertical="center" wrapText="1"/>
    </xf>
    <xf numFmtId="0" fontId="54" fillId="0" borderId="0" xfId="0" applyFont="1"/>
    <xf numFmtId="0" fontId="54" fillId="0" borderId="0" xfId="0" applyFont="1" applyAlignment="1">
      <alignment horizontal="center"/>
    </xf>
    <xf numFmtId="0" fontId="56" fillId="0" borderId="0" xfId="0" applyFont="1" applyAlignment="1">
      <alignment horizontal="left" vertical="top" wrapText="1"/>
    </xf>
    <xf numFmtId="0" fontId="59" fillId="0" borderId="0" xfId="0" applyFont="1" applyAlignment="1">
      <alignment horizontal="right"/>
    </xf>
    <xf numFmtId="0" fontId="60" fillId="0" borderId="0" xfId="0" applyFont="1" applyAlignment="1">
      <alignment vertical="center"/>
    </xf>
    <xf numFmtId="0" fontId="61" fillId="0" borderId="0" xfId="0" applyFont="1" applyAlignment="1">
      <alignment vertical="center"/>
    </xf>
    <xf numFmtId="0" fontId="53" fillId="0" borderId="5" xfId="0" applyFont="1" applyBorder="1" applyAlignment="1">
      <alignment horizontal="center" vertical="center" wrapText="1"/>
    </xf>
    <xf numFmtId="2" fontId="0" fillId="0" borderId="0" xfId="0" applyNumberFormat="1"/>
    <xf numFmtId="2" fontId="62" fillId="0" borderId="0" xfId="0" applyNumberFormat="1" applyFont="1"/>
    <xf numFmtId="0" fontId="62" fillId="0" borderId="0" xfId="0" applyFont="1"/>
    <xf numFmtId="0" fontId="58" fillId="0" borderId="0" xfId="0" applyFont="1" applyAlignment="1">
      <alignment horizontal="right" vertical="center" wrapText="1"/>
    </xf>
    <xf numFmtId="2" fontId="56" fillId="0" borderId="0" xfId="0" applyNumberFormat="1" applyFont="1" applyAlignment="1">
      <alignment horizontal="right" vertical="top" wrapText="1"/>
    </xf>
    <xf numFmtId="0" fontId="9" fillId="0" borderId="0" xfId="0" applyFont="1" applyAlignment="1">
      <alignment horizontal="center" vertical="top"/>
    </xf>
    <xf numFmtId="0" fontId="9" fillId="0" borderId="0" xfId="0" applyFont="1" applyAlignment="1">
      <alignment vertical="top"/>
    </xf>
    <xf numFmtId="0" fontId="12" fillId="0" borderId="0" xfId="0" applyFont="1" applyAlignment="1">
      <alignment horizontal="center"/>
    </xf>
    <xf numFmtId="165" fontId="12" fillId="0" borderId="5" xfId="0" applyNumberFormat="1" applyFont="1" applyBorder="1" applyAlignment="1">
      <alignment horizontal="center"/>
    </xf>
    <xf numFmtId="167" fontId="25" fillId="0" borderId="5" xfId="0" applyNumberFormat="1" applyFont="1" applyBorder="1" applyAlignment="1">
      <alignment horizontal="center"/>
    </xf>
    <xf numFmtId="0" fontId="29" fillId="4" borderId="5" xfId="0" applyFont="1" applyFill="1" applyBorder="1"/>
    <xf numFmtId="165" fontId="29" fillId="4" borderId="5" xfId="0" applyNumberFormat="1" applyFont="1" applyFill="1" applyBorder="1" applyAlignment="1">
      <alignment horizontal="right"/>
    </xf>
    <xf numFmtId="0" fontId="29" fillId="4" borderId="5" xfId="0" applyFont="1" applyFill="1" applyBorder="1" applyAlignment="1">
      <alignment horizontal="left"/>
    </xf>
    <xf numFmtId="0" fontId="12" fillId="3" borderId="5" xfId="0" applyFont="1" applyFill="1" applyBorder="1"/>
    <xf numFmtId="0" fontId="12" fillId="3" borderId="5" xfId="0" applyFont="1" applyFill="1" applyBorder="1" applyAlignment="1">
      <alignment horizontal="left"/>
    </xf>
    <xf numFmtId="165" fontId="12" fillId="3" borderId="5" xfId="0" applyNumberFormat="1" applyFont="1" applyFill="1" applyBorder="1" applyAlignment="1">
      <alignment horizontal="right"/>
    </xf>
    <xf numFmtId="0" fontId="45" fillId="0" borderId="0" xfId="0" applyFont="1"/>
    <xf numFmtId="0" fontId="46" fillId="2" borderId="5" xfId="0" applyFont="1" applyFill="1" applyBorder="1" applyAlignment="1">
      <alignment horizontal="center"/>
    </xf>
    <xf numFmtId="0" fontId="45" fillId="0" borderId="5" xfId="0" applyFont="1" applyBorder="1" applyAlignment="1">
      <alignment horizontal="center"/>
    </xf>
    <xf numFmtId="0" fontId="45" fillId="0" borderId="5" xfId="0" applyFont="1" applyBorder="1"/>
    <xf numFmtId="0" fontId="46" fillId="0" borderId="5" xfId="0" applyFont="1" applyBorder="1" applyAlignment="1">
      <alignment horizontal="center"/>
    </xf>
    <xf numFmtId="0" fontId="46" fillId="0" borderId="5" xfId="0" applyFont="1" applyBorder="1"/>
    <xf numFmtId="2" fontId="46" fillId="0" borderId="5" xfId="0" applyNumberFormat="1" applyFont="1" applyBorder="1"/>
    <xf numFmtId="2" fontId="45" fillId="0" borderId="0" xfId="0" applyNumberFormat="1" applyFont="1"/>
    <xf numFmtId="2" fontId="46" fillId="0" borderId="5" xfId="0" applyNumberFormat="1" applyFont="1" applyBorder="1" applyAlignment="1">
      <alignment horizontal="right"/>
    </xf>
    <xf numFmtId="2" fontId="45" fillId="0" borderId="5" xfId="0" applyNumberFormat="1" applyFont="1" applyBorder="1"/>
    <xf numFmtId="0" fontId="46" fillId="0" borderId="5" xfId="0" applyFont="1" applyBorder="1" applyAlignment="1">
      <alignment horizontal="center" vertical="center"/>
    </xf>
    <xf numFmtId="2" fontId="46" fillId="0" borderId="5" xfId="0" applyNumberFormat="1" applyFont="1" applyBorder="1" applyAlignment="1">
      <alignment horizontal="left" vertical="center" wrapText="1"/>
    </xf>
    <xf numFmtId="2" fontId="46" fillId="0" borderId="5" xfId="0" applyNumberFormat="1" applyFont="1" applyBorder="1" applyAlignment="1">
      <alignment horizontal="right" vertical="center"/>
    </xf>
    <xf numFmtId="0" fontId="63" fillId="0" borderId="5" xfId="0" applyFont="1" applyBorder="1"/>
    <xf numFmtId="0" fontId="46" fillId="0" borderId="5" xfId="0" applyFont="1" applyBorder="1" applyAlignment="1">
      <alignment vertical="top"/>
    </xf>
    <xf numFmtId="2" fontId="15" fillId="0" borderId="5" xfId="1" applyNumberFormat="1" applyFont="1" applyBorder="1" applyAlignment="1">
      <alignment wrapText="1"/>
    </xf>
    <xf numFmtId="0" fontId="46" fillId="3" borderId="5" xfId="0" applyFont="1" applyFill="1" applyBorder="1" applyAlignment="1">
      <alignment horizontal="center"/>
    </xf>
    <xf numFmtId="2" fontId="46" fillId="3" borderId="5" xfId="0" applyNumberFormat="1" applyFont="1" applyFill="1" applyBorder="1" applyAlignment="1">
      <alignment horizontal="right"/>
    </xf>
    <xf numFmtId="2" fontId="46" fillId="3" borderId="5" xfId="0" applyNumberFormat="1" applyFont="1" applyFill="1" applyBorder="1" applyAlignment="1">
      <alignment horizontal="center"/>
    </xf>
    <xf numFmtId="0" fontId="27" fillId="0" borderId="0" xfId="8" applyFont="1"/>
    <xf numFmtId="1" fontId="27" fillId="0" borderId="0" xfId="8" applyNumberFormat="1" applyFont="1"/>
    <xf numFmtId="0" fontId="27" fillId="0" borderId="0" xfId="8" applyFont="1" applyAlignment="1">
      <alignment vertical="center"/>
    </xf>
    <xf numFmtId="1" fontId="27" fillId="0" borderId="0" xfId="8" applyNumberFormat="1" applyFont="1" applyAlignment="1">
      <alignment vertical="center"/>
    </xf>
    <xf numFmtId="2" fontId="15" fillId="0" borderId="0" xfId="0" applyNumberFormat="1" applyFont="1" applyAlignment="1">
      <alignment horizontal="center" vertical="center"/>
    </xf>
    <xf numFmtId="2" fontId="30" fillId="0" borderId="0" xfId="8" applyNumberFormat="1" applyFont="1" applyAlignment="1">
      <alignment horizontal="center" vertical="center"/>
    </xf>
    <xf numFmtId="2" fontId="27" fillId="0" borderId="0" xfId="12" applyNumberFormat="1" applyFont="1" applyBorder="1" applyAlignment="1">
      <alignment vertical="center"/>
    </xf>
    <xf numFmtId="1" fontId="27" fillId="0" borderId="0" xfId="12" applyNumberFormat="1" applyFont="1" applyBorder="1" applyAlignment="1">
      <alignment vertical="center"/>
    </xf>
    <xf numFmtId="1" fontId="30" fillId="0" borderId="0" xfId="12" applyNumberFormat="1" applyFont="1" applyBorder="1" applyAlignment="1">
      <alignment horizontal="right" vertical="center"/>
    </xf>
    <xf numFmtId="1" fontId="59" fillId="0" borderId="0" xfId="12" applyNumberFormat="1" applyFont="1" applyBorder="1" applyAlignment="1">
      <alignment horizontal="right" vertical="center"/>
    </xf>
    <xf numFmtId="2" fontId="30" fillId="2" borderId="5" xfId="12" applyNumberFormat="1" applyFont="1" applyFill="1" applyBorder="1" applyAlignment="1">
      <alignment horizontal="center" vertical="center" shrinkToFit="1"/>
    </xf>
    <xf numFmtId="1" fontId="30" fillId="2" borderId="5" xfId="12" applyNumberFormat="1" applyFont="1" applyFill="1" applyBorder="1" applyAlignment="1">
      <alignment horizontal="center" vertical="center" shrinkToFit="1"/>
    </xf>
    <xf numFmtId="2" fontId="30" fillId="2" borderId="5" xfId="12" applyNumberFormat="1" applyFont="1" applyFill="1" applyBorder="1" applyAlignment="1">
      <alignment horizontal="center" vertical="center" wrapText="1"/>
    </xf>
    <xf numFmtId="2" fontId="30" fillId="0" borderId="5" xfId="12" applyNumberFormat="1" applyFont="1" applyBorder="1" applyAlignment="1">
      <alignment vertical="center"/>
    </xf>
    <xf numFmtId="1" fontId="30" fillId="0" borderId="5" xfId="12" applyNumberFormat="1" applyFont="1" applyFill="1" applyBorder="1" applyAlignment="1">
      <alignment vertical="center"/>
    </xf>
    <xf numFmtId="2" fontId="30" fillId="0" borderId="5" xfId="12" applyNumberFormat="1" applyFont="1" applyBorder="1" applyAlignment="1">
      <alignment vertical="center" wrapText="1"/>
    </xf>
    <xf numFmtId="1" fontId="30" fillId="0" borderId="5" xfId="12" applyNumberFormat="1" applyFont="1" applyBorder="1" applyAlignment="1">
      <alignment horizontal="right" vertical="center" wrapText="1"/>
    </xf>
    <xf numFmtId="1" fontId="30" fillId="0" borderId="5" xfId="12" applyNumberFormat="1" applyFont="1" applyBorder="1" applyAlignment="1">
      <alignment horizontal="center" vertical="center"/>
    </xf>
    <xf numFmtId="0" fontId="27" fillId="0" borderId="5" xfId="8" applyFont="1" applyBorder="1" applyAlignment="1">
      <alignment vertical="center"/>
    </xf>
    <xf numFmtId="1" fontId="30" fillId="0" borderId="5" xfId="12" applyNumberFormat="1" applyFont="1" applyBorder="1" applyAlignment="1">
      <alignment horizontal="right" vertical="center"/>
    </xf>
    <xf numFmtId="1" fontId="30" fillId="0" borderId="5" xfId="8" applyNumberFormat="1" applyFont="1" applyBorder="1" applyAlignment="1">
      <alignment horizontal="center" vertical="center"/>
    </xf>
    <xf numFmtId="2" fontId="27" fillId="0" borderId="5" xfId="12" applyNumberFormat="1" applyFont="1" applyBorder="1" applyAlignment="1">
      <alignment horizontal="left" vertical="center"/>
    </xf>
    <xf numFmtId="0" fontId="64" fillId="0" borderId="5" xfId="8" applyFont="1" applyBorder="1" applyAlignment="1">
      <alignment horizontal="left" vertical="center"/>
    </xf>
    <xf numFmtId="2" fontId="27" fillId="0" borderId="5" xfId="8" applyNumberFormat="1" applyFont="1" applyBorder="1" applyAlignment="1">
      <alignment vertical="center"/>
    </xf>
    <xf numFmtId="1" fontId="30" fillId="0" borderId="5" xfId="12" applyNumberFormat="1" applyFont="1" applyFill="1" applyBorder="1" applyAlignment="1">
      <alignment horizontal="center" vertical="center"/>
    </xf>
    <xf numFmtId="2" fontId="27" fillId="0" borderId="5" xfId="12" applyNumberFormat="1" applyFont="1" applyBorder="1" applyAlignment="1">
      <alignment vertical="center"/>
    </xf>
    <xf numFmtId="2" fontId="30" fillId="0" borderId="5" xfId="12" applyNumberFormat="1" applyFont="1" applyFill="1" applyBorder="1" applyAlignment="1">
      <alignment vertical="center"/>
    </xf>
    <xf numFmtId="1" fontId="65" fillId="0" borderId="5" xfId="12" applyNumberFormat="1" applyFont="1" applyBorder="1" applyAlignment="1">
      <alignment horizontal="center" vertical="center"/>
    </xf>
    <xf numFmtId="2" fontId="27" fillId="0" borderId="5" xfId="12" applyNumberFormat="1" applyFont="1" applyBorder="1" applyAlignment="1">
      <alignment horizontal="right" vertical="center"/>
    </xf>
    <xf numFmtId="1" fontId="30" fillId="0" borderId="5" xfId="8" applyNumberFormat="1" applyFont="1" applyBorder="1" applyAlignment="1">
      <alignment horizontal="right" vertical="center"/>
    </xf>
    <xf numFmtId="1" fontId="66" fillId="0" borderId="5" xfId="12" applyNumberFormat="1" applyFont="1" applyBorder="1" applyAlignment="1">
      <alignment horizontal="right" vertical="center" wrapText="1"/>
    </xf>
    <xf numFmtId="0" fontId="27" fillId="0" borderId="5" xfId="8" applyFont="1" applyBorder="1" applyAlignment="1">
      <alignment horizontal="left" vertical="center"/>
    </xf>
    <xf numFmtId="0" fontId="67" fillId="0" borderId="0" xfId="8" applyFont="1"/>
    <xf numFmtId="2" fontId="27" fillId="0" borderId="0" xfId="8" applyNumberFormat="1" applyFont="1" applyAlignment="1">
      <alignment vertical="center"/>
    </xf>
    <xf numFmtId="2" fontId="27" fillId="0" borderId="5" xfId="12" applyNumberFormat="1" applyFont="1" applyFill="1" applyBorder="1" applyAlignment="1">
      <alignment vertical="center"/>
    </xf>
    <xf numFmtId="2" fontId="27" fillId="0" borderId="5" xfId="12" applyNumberFormat="1" applyFont="1" applyFill="1" applyBorder="1" applyAlignment="1">
      <alignment horizontal="left" vertical="center"/>
    </xf>
    <xf numFmtId="0" fontId="68" fillId="0" borderId="5" xfId="8" applyFont="1" applyBorder="1" applyAlignment="1">
      <alignment vertical="center"/>
    </xf>
    <xf numFmtId="1" fontId="66" fillId="0" borderId="5" xfId="12" applyNumberFormat="1" applyFont="1" applyBorder="1" applyAlignment="1">
      <alignment horizontal="right" vertical="center"/>
    </xf>
    <xf numFmtId="2" fontId="30" fillId="0" borderId="5" xfId="12" applyNumberFormat="1" applyFont="1" applyBorder="1" applyAlignment="1">
      <alignment horizontal="center" vertical="center" wrapText="1"/>
    </xf>
    <xf numFmtId="1" fontId="27" fillId="0" borderId="5" xfId="8" applyNumberFormat="1" applyFont="1" applyBorder="1" applyAlignment="1">
      <alignment vertical="center"/>
    </xf>
    <xf numFmtId="2" fontId="30" fillId="0" borderId="0" xfId="8" applyNumberFormat="1" applyFont="1" applyAlignment="1">
      <alignment vertical="center"/>
    </xf>
    <xf numFmtId="0" fontId="30" fillId="0" borderId="0" xfId="8" applyFont="1" applyAlignment="1">
      <alignment vertical="center"/>
    </xf>
    <xf numFmtId="0" fontId="0" fillId="0" borderId="0" xfId="0" applyAlignment="1">
      <alignment vertical="center"/>
    </xf>
    <xf numFmtId="1" fontId="0" fillId="0" borderId="0" xfId="0" applyNumberFormat="1" applyAlignment="1">
      <alignment vertical="center"/>
    </xf>
    <xf numFmtId="2" fontId="70" fillId="0" borderId="0" xfId="1" applyNumberFormat="1" applyFont="1" applyBorder="1" applyAlignment="1">
      <alignment vertical="center"/>
    </xf>
    <xf numFmtId="1" fontId="70" fillId="0" borderId="0" xfId="1" applyNumberFormat="1" applyFont="1" applyBorder="1" applyAlignment="1">
      <alignment vertical="center"/>
    </xf>
    <xf numFmtId="2" fontId="63" fillId="0" borderId="0" xfId="1" applyNumberFormat="1" applyFont="1" applyBorder="1" applyAlignment="1">
      <alignment vertical="center"/>
    </xf>
    <xf numFmtId="1" fontId="71" fillId="0" borderId="0" xfId="1" applyNumberFormat="1" applyFont="1" applyBorder="1" applyAlignment="1">
      <alignment horizontal="right" vertical="center"/>
    </xf>
    <xf numFmtId="1" fontId="72" fillId="0" borderId="0" xfId="1" applyNumberFormat="1" applyFont="1" applyBorder="1" applyAlignment="1">
      <alignment horizontal="right" vertical="center"/>
    </xf>
    <xf numFmtId="2" fontId="15" fillId="2" borderId="5" xfId="1" applyNumberFormat="1" applyFont="1" applyFill="1" applyBorder="1" applyAlignment="1">
      <alignment horizontal="center" vertical="center" shrinkToFit="1"/>
    </xf>
    <xf numFmtId="1" fontId="15" fillId="2" borderId="5" xfId="1" applyNumberFormat="1" applyFont="1" applyFill="1" applyBorder="1" applyAlignment="1">
      <alignment horizontal="center" vertical="center" wrapText="1" shrinkToFit="1"/>
    </xf>
    <xf numFmtId="2" fontId="15" fillId="2" borderId="5" xfId="1" applyNumberFormat="1" applyFont="1" applyFill="1" applyBorder="1" applyAlignment="1">
      <alignment horizontal="center" vertical="center" wrapText="1"/>
    </xf>
    <xf numFmtId="2" fontId="15" fillId="0" borderId="5" xfId="1" applyNumberFormat="1" applyFont="1" applyBorder="1" applyAlignment="1">
      <alignment vertical="center"/>
    </xf>
    <xf numFmtId="1" fontId="15" fillId="0" borderId="5" xfId="1" applyNumberFormat="1" applyFont="1" applyBorder="1" applyAlignment="1">
      <alignment vertical="center"/>
    </xf>
    <xf numFmtId="2" fontId="63" fillId="0" borderId="5" xfId="1" applyNumberFormat="1" applyFont="1" applyBorder="1" applyAlignment="1">
      <alignment vertical="center" wrapText="1"/>
    </xf>
    <xf numFmtId="2" fontId="15" fillId="0" borderId="5" xfId="1" applyNumberFormat="1" applyFont="1" applyBorder="1" applyAlignment="1">
      <alignment vertical="center" wrapText="1"/>
    </xf>
    <xf numFmtId="1" fontId="15" fillId="0" borderId="5" xfId="1" applyNumberFormat="1" applyFont="1" applyBorder="1" applyAlignment="1">
      <alignment vertical="center" wrapText="1"/>
    </xf>
    <xf numFmtId="2" fontId="63" fillId="0" borderId="5" xfId="1" applyNumberFormat="1" applyFont="1" applyBorder="1" applyAlignment="1">
      <alignment vertical="center"/>
    </xf>
    <xf numFmtId="1" fontId="15" fillId="0" borderId="5" xfId="1" applyNumberFormat="1" applyFont="1" applyFill="1" applyBorder="1" applyAlignment="1">
      <alignment vertical="center"/>
    </xf>
    <xf numFmtId="1" fontId="15" fillId="0" borderId="5" xfId="1" applyNumberFormat="1" applyFont="1" applyBorder="1" applyAlignment="1">
      <alignment horizontal="right" vertical="center"/>
    </xf>
    <xf numFmtId="1" fontId="15" fillId="0" borderId="5" xfId="0" applyNumberFormat="1" applyFont="1" applyBorder="1" applyAlignment="1">
      <alignment vertical="center"/>
    </xf>
    <xf numFmtId="2" fontId="63" fillId="0" borderId="5" xfId="1" applyNumberFormat="1" applyFont="1" applyBorder="1" applyAlignment="1">
      <alignment horizontal="left" vertical="center"/>
    </xf>
    <xf numFmtId="1" fontId="15" fillId="5" borderId="5" xfId="1" applyNumberFormat="1" applyFont="1" applyFill="1" applyBorder="1" applyAlignment="1">
      <alignment vertical="center" wrapText="1"/>
    </xf>
    <xf numFmtId="2" fontId="0" fillId="0" borderId="0" xfId="0" applyNumberFormat="1" applyAlignment="1">
      <alignment vertical="center"/>
    </xf>
    <xf numFmtId="2" fontId="63" fillId="0" borderId="5" xfId="0" applyNumberFormat="1" applyFont="1" applyBorder="1" applyAlignment="1">
      <alignment horizontal="left" vertical="center"/>
    </xf>
    <xf numFmtId="2" fontId="63" fillId="0" borderId="5" xfId="0" applyNumberFormat="1" applyFont="1" applyBorder="1" applyAlignment="1">
      <alignment vertical="center"/>
    </xf>
    <xf numFmtId="0" fontId="0" fillId="0" borderId="26" xfId="0" applyBorder="1" applyAlignment="1">
      <alignment vertical="center"/>
    </xf>
    <xf numFmtId="1" fontId="15" fillId="5" borderId="5" xfId="1" applyNumberFormat="1" applyFont="1" applyFill="1" applyBorder="1" applyAlignment="1">
      <alignment vertical="center"/>
    </xf>
    <xf numFmtId="1" fontId="34" fillId="0" borderId="5" xfId="1" applyNumberFormat="1" applyFont="1" applyBorder="1" applyAlignment="1">
      <alignment vertical="center"/>
    </xf>
    <xf numFmtId="2" fontId="15" fillId="0" borderId="5" xfId="1" applyNumberFormat="1" applyFont="1" applyBorder="1" applyAlignment="1">
      <alignment horizontal="center" vertical="center" wrapText="1"/>
    </xf>
    <xf numFmtId="2" fontId="63" fillId="0" borderId="0" xfId="0" applyNumberFormat="1" applyFont="1" applyAlignment="1">
      <alignment vertical="center"/>
    </xf>
    <xf numFmtId="1" fontId="63" fillId="0" borderId="0" xfId="0" applyNumberFormat="1" applyFont="1" applyAlignment="1">
      <alignment vertical="center"/>
    </xf>
    <xf numFmtId="2" fontId="15" fillId="0" borderId="0" xfId="0" applyNumberFormat="1" applyFont="1" applyAlignment="1">
      <alignment vertical="center"/>
    </xf>
    <xf numFmtId="1" fontId="15" fillId="0" borderId="0" xfId="0" applyNumberFormat="1" applyFont="1" applyAlignment="1">
      <alignment horizontal="right" vertical="center"/>
    </xf>
    <xf numFmtId="0" fontId="15" fillId="0" borderId="0" xfId="0" applyFont="1" applyAlignment="1">
      <alignment vertical="center"/>
    </xf>
    <xf numFmtId="0" fontId="73" fillId="0" borderId="0" xfId="0" applyFont="1"/>
    <xf numFmtId="0" fontId="25" fillId="0" borderId="0" xfId="0" applyFont="1" applyAlignment="1">
      <alignment horizontal="center"/>
    </xf>
    <xf numFmtId="0" fontId="35" fillId="0" borderId="0" xfId="0" applyFont="1"/>
    <xf numFmtId="0" fontId="8" fillId="0" borderId="0" xfId="0" applyFont="1" applyAlignment="1">
      <alignment horizontal="center"/>
    </xf>
    <xf numFmtId="0" fontId="11" fillId="0" borderId="0" xfId="0" applyFont="1" applyAlignment="1">
      <alignment horizontal="center"/>
    </xf>
    <xf numFmtId="0" fontId="11" fillId="2" borderId="3" xfId="0"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vertical="center"/>
    </xf>
    <xf numFmtId="0" fontId="8" fillId="0" borderId="5" xfId="0" applyFont="1" applyBorder="1" applyAlignment="1">
      <alignment vertical="center" wrapText="1"/>
    </xf>
    <xf numFmtId="0" fontId="11" fillId="0" borderId="7" xfId="0" applyFont="1" applyBorder="1" applyAlignment="1">
      <alignment horizontal="right" vertical="top" wrapText="1"/>
    </xf>
    <xf numFmtId="0" fontId="11" fillId="0" borderId="8" xfId="0" applyFont="1" applyBorder="1" applyAlignment="1">
      <alignment horizontal="center" vertical="top" wrapText="1"/>
    </xf>
    <xf numFmtId="2" fontId="11" fillId="0" borderId="9" xfId="0" applyNumberFormat="1" applyFont="1" applyBorder="1" applyAlignment="1">
      <alignment vertical="top" wrapText="1"/>
    </xf>
    <xf numFmtId="0" fontId="11" fillId="0" borderId="0" xfId="0" applyFont="1" applyAlignment="1">
      <alignment horizontal="right" vertical="top" wrapText="1"/>
    </xf>
    <xf numFmtId="0" fontId="11" fillId="0" borderId="0" xfId="0" applyFont="1" applyAlignment="1">
      <alignment horizontal="center" vertical="top" wrapText="1"/>
    </xf>
    <xf numFmtId="2" fontId="11" fillId="0" borderId="0" xfId="0" applyNumberFormat="1" applyFont="1" applyAlignment="1">
      <alignment vertical="top" wrapText="1"/>
    </xf>
    <xf numFmtId="0" fontId="11" fillId="0" borderId="5" xfId="0" applyFont="1" applyBorder="1" applyAlignment="1">
      <alignment horizontal="center" vertical="top" wrapText="1"/>
    </xf>
    <xf numFmtId="2" fontId="11" fillId="0" borderId="5" xfId="0" applyNumberFormat="1" applyFont="1" applyBorder="1" applyAlignment="1">
      <alignment horizontal="center" vertical="top" wrapText="1"/>
    </xf>
    <xf numFmtId="0" fontId="11" fillId="0" borderId="5" xfId="0" applyFont="1" applyBorder="1" applyAlignment="1">
      <alignment horizontal="right" vertical="top" wrapText="1"/>
    </xf>
    <xf numFmtId="0" fontId="11" fillId="0" borderId="5" xfId="0" applyFont="1" applyBorder="1" applyAlignment="1">
      <alignment horizontal="left" vertical="top" wrapText="1"/>
    </xf>
    <xf numFmtId="2" fontId="11" fillId="0" borderId="5" xfId="0" applyNumberFormat="1" applyFont="1" applyBorder="1" applyAlignment="1">
      <alignment vertical="top" wrapText="1"/>
    </xf>
    <xf numFmtId="0" fontId="77" fillId="0" borderId="0" xfId="0" applyFont="1" applyAlignment="1">
      <alignment horizontal="left" vertical="center" wrapText="1"/>
    </xf>
    <xf numFmtId="2" fontId="11" fillId="0" borderId="0" xfId="0" applyNumberFormat="1" applyFont="1" applyAlignment="1">
      <alignment horizontal="center"/>
    </xf>
    <xf numFmtId="0" fontId="63" fillId="2" borderId="0" xfId="0" applyFont="1" applyFill="1"/>
    <xf numFmtId="0" fontId="15" fillId="0" borderId="0" xfId="0" applyFont="1"/>
    <xf numFmtId="0" fontId="78" fillId="0" borderId="0" xfId="0" applyFont="1" applyAlignment="1">
      <alignment horizontal="center" vertical="center"/>
    </xf>
    <xf numFmtId="0" fontId="15" fillId="0" borderId="0" xfId="0" applyFont="1" applyAlignment="1">
      <alignment horizontal="center" vertical="center"/>
    </xf>
    <xf numFmtId="0" fontId="34" fillId="0" borderId="0" xfId="0" applyFont="1" applyAlignment="1">
      <alignment horizontal="center" vertical="center"/>
    </xf>
    <xf numFmtId="0" fontId="79" fillId="0" borderId="0" xfId="0" applyFont="1" applyAlignment="1">
      <alignment vertical="center"/>
    </xf>
    <xf numFmtId="0" fontId="72" fillId="0" borderId="0" xfId="0" applyFont="1" applyAlignment="1">
      <alignment horizontal="center" vertical="center"/>
    </xf>
    <xf numFmtId="0" fontId="78" fillId="2" borderId="1" xfId="0" applyFont="1" applyFill="1" applyBorder="1" applyAlignment="1">
      <alignment vertical="center"/>
    </xf>
    <xf numFmtId="0" fontId="78" fillId="2" borderId="2" xfId="0" applyFont="1" applyFill="1" applyBorder="1" applyAlignment="1">
      <alignment vertical="center"/>
    </xf>
    <xf numFmtId="0" fontId="78" fillId="2" borderId="3" xfId="0" applyFont="1" applyFill="1" applyBorder="1" applyAlignment="1">
      <alignment vertical="center"/>
    </xf>
    <xf numFmtId="0" fontId="63" fillId="2" borderId="0" xfId="0" applyFont="1" applyFill="1" applyAlignment="1">
      <alignment vertical="center"/>
    </xf>
    <xf numFmtId="0" fontId="80" fillId="0" borderId="4" xfId="0" applyFont="1" applyBorder="1" applyAlignment="1">
      <alignment vertical="center" wrapText="1"/>
    </xf>
    <xf numFmtId="0" fontId="63" fillId="0" borderId="5" xfId="0" applyFont="1" applyBorder="1" applyAlignment="1">
      <alignment vertical="center"/>
    </xf>
    <xf numFmtId="0" fontId="63" fillId="0" borderId="6" xfId="0" applyFont="1" applyBorder="1" applyAlignment="1">
      <alignment vertical="center"/>
    </xf>
    <xf numFmtId="0" fontId="69" fillId="0" borderId="4" xfId="0" applyFont="1" applyBorder="1" applyAlignment="1">
      <alignment vertical="center"/>
    </xf>
    <xf numFmtId="1" fontId="63" fillId="0" borderId="5" xfId="0" applyNumberFormat="1" applyFont="1" applyBorder="1" applyAlignment="1">
      <alignment vertical="center"/>
    </xf>
    <xf numFmtId="1" fontId="63" fillId="0" borderId="6" xfId="0" applyNumberFormat="1" applyFont="1" applyBorder="1" applyAlignment="1">
      <alignment vertical="center"/>
    </xf>
    <xf numFmtId="1" fontId="63" fillId="0" borderId="5" xfId="0" applyNumberFormat="1" applyFont="1" applyBorder="1"/>
    <xf numFmtId="0" fontId="15" fillId="0" borderId="4" xfId="0" applyFont="1" applyBorder="1" applyAlignment="1">
      <alignment vertical="center"/>
    </xf>
    <xf numFmtId="0" fontId="80" fillId="0" borderId="7" xfId="0" applyFont="1" applyBorder="1" applyAlignment="1">
      <alignment horizontal="left" vertical="center" wrapText="1"/>
    </xf>
    <xf numFmtId="1" fontId="80" fillId="0" borderId="8" xfId="0" applyNumberFormat="1" applyFont="1" applyBorder="1" applyAlignment="1">
      <alignment vertical="center" wrapText="1"/>
    </xf>
    <xf numFmtId="1" fontId="80" fillId="0" borderId="9" xfId="0" applyNumberFormat="1" applyFont="1" applyBorder="1" applyAlignment="1">
      <alignment vertical="center" wrapText="1"/>
    </xf>
    <xf numFmtId="0" fontId="81" fillId="0" borderId="0" xfId="0" applyFont="1"/>
    <xf numFmtId="0" fontId="63" fillId="0" borderId="0" xfId="0" applyFont="1"/>
    <xf numFmtId="1" fontId="0" fillId="2" borderId="0" xfId="0" applyNumberFormat="1" applyFill="1"/>
    <xf numFmtId="1" fontId="15" fillId="2" borderId="0" xfId="0" applyNumberFormat="1" applyFont="1" applyFill="1"/>
    <xf numFmtId="1" fontId="15" fillId="0" borderId="0" xfId="0" applyNumberFormat="1" applyFont="1"/>
    <xf numFmtId="1" fontId="0" fillId="0" borderId="0" xfId="0" applyNumberFormat="1"/>
    <xf numFmtId="1" fontId="34" fillId="0" borderId="0" xfId="0" applyNumberFormat="1" applyFont="1" applyAlignment="1">
      <alignment horizontal="center" vertical="center"/>
    </xf>
    <xf numFmtId="1" fontId="15" fillId="0" borderId="0" xfId="0" applyNumberFormat="1" applyFont="1" applyAlignment="1">
      <alignment horizontal="center" vertical="center"/>
    </xf>
    <xf numFmtId="1" fontId="15" fillId="0" borderId="0" xfId="0" applyNumberFormat="1" applyFont="1" applyAlignment="1">
      <alignment vertical="center"/>
    </xf>
    <xf numFmtId="1" fontId="82" fillId="2" borderId="2" xfId="0" applyNumberFormat="1" applyFont="1" applyFill="1" applyBorder="1" applyAlignment="1">
      <alignment horizontal="center" vertical="center"/>
    </xf>
    <xf numFmtId="1" fontId="83" fillId="2" borderId="33" xfId="0" applyNumberFormat="1" applyFont="1" applyFill="1" applyBorder="1" applyAlignment="1">
      <alignment horizontal="left" vertical="center" wrapText="1"/>
    </xf>
    <xf numFmtId="0" fontId="34" fillId="2" borderId="5" xfId="0" applyFont="1" applyFill="1" applyBorder="1" applyAlignment="1">
      <alignment horizontal="center" vertical="center" wrapText="1"/>
    </xf>
    <xf numFmtId="0" fontId="34" fillId="2" borderId="10" xfId="0" applyFont="1" applyFill="1" applyBorder="1" applyAlignment="1">
      <alignment horizontal="center" vertical="center"/>
    </xf>
    <xf numFmtId="1" fontId="15" fillId="0" borderId="4" xfId="0" applyNumberFormat="1" applyFont="1" applyBorder="1" applyAlignment="1">
      <alignment vertical="center"/>
    </xf>
    <xf numFmtId="1" fontId="69" fillId="0" borderId="4" xfId="0" applyNumberFormat="1" applyFont="1" applyBorder="1" applyAlignment="1">
      <alignment vertical="center"/>
    </xf>
    <xf numFmtId="1" fontId="34" fillId="0" borderId="7" xfId="0" applyNumberFormat="1" applyFont="1" applyBorder="1" applyAlignment="1">
      <alignment vertical="center"/>
    </xf>
    <xf numFmtId="1" fontId="15" fillId="0" borderId="8" xfId="0" applyNumberFormat="1" applyFont="1" applyBorder="1" applyAlignment="1">
      <alignment vertical="center"/>
    </xf>
    <xf numFmtId="0" fontId="15" fillId="0" borderId="0" xfId="3" applyFont="1" applyAlignment="1">
      <alignment vertical="center"/>
    </xf>
    <xf numFmtId="1" fontId="15" fillId="0" borderId="5" xfId="3" applyNumberFormat="1" applyFont="1" applyBorder="1" applyAlignment="1">
      <alignment vertical="center"/>
    </xf>
    <xf numFmtId="2" fontId="15" fillId="0" borderId="5" xfId="3" applyNumberFormat="1" applyFont="1" applyBorder="1" applyAlignment="1">
      <alignment vertical="center"/>
    </xf>
    <xf numFmtId="0" fontId="11" fillId="0" borderId="10" xfId="3" applyFont="1" applyBorder="1"/>
    <xf numFmtId="1" fontId="63" fillId="0" borderId="5" xfId="3" applyNumberFormat="1" applyBorder="1" applyAlignment="1">
      <alignment vertical="center"/>
    </xf>
    <xf numFmtId="1" fontId="8" fillId="0" borderId="5" xfId="3" applyNumberFormat="1" applyFont="1" applyBorder="1"/>
    <xf numFmtId="1" fontId="84" fillId="0" borderId="0" xfId="0" applyNumberFormat="1" applyFont="1" applyAlignment="1">
      <alignment vertical="center"/>
    </xf>
    <xf numFmtId="1" fontId="63" fillId="0" borderId="5" xfId="3" applyNumberFormat="1" applyBorder="1"/>
    <xf numFmtId="0" fontId="11" fillId="0" borderId="5" xfId="3" applyFont="1" applyBorder="1"/>
    <xf numFmtId="1" fontId="11" fillId="0" borderId="5" xfId="3" applyNumberFormat="1" applyFont="1" applyBorder="1"/>
    <xf numFmtId="1" fontId="82" fillId="2" borderId="3" xfId="0" applyNumberFormat="1" applyFont="1" applyFill="1" applyBorder="1" applyAlignment="1">
      <alignment horizontal="center" vertical="center"/>
    </xf>
    <xf numFmtId="1" fontId="15" fillId="0" borderId="6" xfId="0" applyNumberFormat="1" applyFont="1" applyBorder="1" applyAlignment="1">
      <alignment vertical="center"/>
    </xf>
    <xf numFmtId="1" fontId="15" fillId="0" borderId="9" xfId="0" applyNumberFormat="1" applyFont="1" applyBorder="1" applyAlignment="1">
      <alignment vertical="center"/>
    </xf>
    <xf numFmtId="0" fontId="8" fillId="0" borderId="0" xfId="0" applyFont="1" applyAlignment="1">
      <alignment vertical="center"/>
    </xf>
    <xf numFmtId="0" fontId="83" fillId="0" borderId="0" xfId="0" applyFont="1"/>
    <xf numFmtId="0" fontId="83" fillId="0" borderId="0" xfId="0" applyFont="1" applyAlignment="1">
      <alignment wrapText="1"/>
    </xf>
    <xf numFmtId="0" fontId="82" fillId="0" borderId="0" xfId="0" applyFont="1"/>
    <xf numFmtId="0" fontId="86" fillId="0" borderId="0" xfId="0" applyFont="1"/>
    <xf numFmtId="0" fontId="88" fillId="2" borderId="1" xfId="0" applyFont="1" applyFill="1" applyBorder="1" applyAlignment="1">
      <alignment horizontal="center" vertical="center"/>
    </xf>
    <xf numFmtId="0" fontId="88" fillId="2" borderId="2" xfId="0" applyFont="1" applyFill="1" applyBorder="1" applyAlignment="1">
      <alignment horizontal="center" vertical="center" wrapText="1"/>
    </xf>
    <xf numFmtId="0" fontId="88" fillId="2" borderId="37" xfId="0" applyFont="1" applyFill="1" applyBorder="1" applyAlignment="1">
      <alignment horizontal="center" vertical="center" wrapText="1"/>
    </xf>
    <xf numFmtId="0" fontId="88" fillId="2" borderId="3" xfId="0" applyFont="1" applyFill="1" applyBorder="1" applyAlignment="1">
      <alignment horizontal="center" vertical="center" wrapText="1"/>
    </xf>
    <xf numFmtId="0" fontId="83" fillId="0" borderId="4" xfId="0" applyFont="1" applyBorder="1" applyAlignment="1">
      <alignment horizontal="center"/>
    </xf>
    <xf numFmtId="0" fontId="83" fillId="0" borderId="5" xfId="0" applyFont="1" applyBorder="1"/>
    <xf numFmtId="0" fontId="83" fillId="0" borderId="10" xfId="0" applyFont="1" applyBorder="1"/>
    <xf numFmtId="0" fontId="83" fillId="0" borderId="6" xfId="0" applyFont="1" applyBorder="1"/>
    <xf numFmtId="0" fontId="82" fillId="0" borderId="7" xfId="0" applyFont="1" applyBorder="1"/>
    <xf numFmtId="0" fontId="82" fillId="0" borderId="8" xfId="0" applyFont="1" applyBorder="1" applyAlignment="1">
      <alignment horizontal="center"/>
    </xf>
    <xf numFmtId="0" fontId="82" fillId="0" borderId="8" xfId="0" applyFont="1" applyBorder="1"/>
    <xf numFmtId="0" fontId="82" fillId="0" borderId="38" xfId="0" applyFont="1" applyBorder="1"/>
    <xf numFmtId="0" fontId="82" fillId="0" borderId="9" xfId="0" applyFont="1" applyBorder="1"/>
    <xf numFmtId="0" fontId="8" fillId="0" borderId="0" xfId="0" applyFont="1" applyAlignment="1">
      <alignment vertical="top"/>
    </xf>
    <xf numFmtId="0" fontId="59" fillId="0" borderId="20" xfId="0" applyFont="1" applyBorder="1" applyAlignment="1">
      <alignment horizontal="right"/>
    </xf>
    <xf numFmtId="0" fontId="11" fillId="2" borderId="17" xfId="0" applyFont="1" applyFill="1" applyBorder="1" applyAlignment="1">
      <alignment horizontal="left" vertical="center"/>
    </xf>
    <xf numFmtId="0" fontId="11" fillId="2" borderId="25" xfId="0" applyFont="1" applyFill="1" applyBorder="1" applyAlignment="1">
      <alignment horizontal="left" vertical="center"/>
    </xf>
    <xf numFmtId="0" fontId="11" fillId="2" borderId="5" xfId="0" applyFont="1" applyFill="1" applyBorder="1" applyAlignment="1">
      <alignment horizontal="center"/>
    </xf>
    <xf numFmtId="0" fontId="11" fillId="0" borderId="17" xfId="0" applyFont="1" applyBorder="1" applyAlignment="1">
      <alignment vertical="top" wrapText="1"/>
    </xf>
    <xf numFmtId="1" fontId="89" fillId="0" borderId="17" xfId="0" applyNumberFormat="1" applyFont="1" applyBorder="1" applyAlignment="1">
      <alignment horizontal="center" vertical="center" wrapText="1"/>
    </xf>
    <xf numFmtId="1" fontId="8" fillId="0" borderId="17" xfId="0" applyNumberFormat="1" applyFont="1" applyBorder="1"/>
    <xf numFmtId="1" fontId="11" fillId="0" borderId="8" xfId="0" applyNumberFormat="1" applyFont="1" applyBorder="1" applyAlignment="1">
      <alignment horizontal="center"/>
    </xf>
    <xf numFmtId="1" fontId="11" fillId="0" borderId="8" xfId="0" applyNumberFormat="1" applyFont="1" applyBorder="1"/>
    <xf numFmtId="1" fontId="11" fillId="0" borderId="9" xfId="0" applyNumberFormat="1" applyFont="1" applyBorder="1"/>
    <xf numFmtId="1" fontId="11" fillId="0" borderId="0" xfId="0" applyNumberFormat="1" applyFont="1"/>
    <xf numFmtId="0" fontId="12" fillId="2" borderId="5" xfId="0" applyFont="1" applyFill="1" applyBorder="1" applyAlignment="1">
      <alignment horizontal="center" vertical="center" wrapText="1"/>
    </xf>
    <xf numFmtId="0" fontId="11" fillId="2" borderId="19" xfId="0" applyFont="1" applyFill="1" applyBorder="1" applyAlignment="1">
      <alignment horizontal="center" wrapText="1"/>
    </xf>
    <xf numFmtId="0" fontId="11" fillId="2" borderId="5" xfId="0" applyFont="1" applyFill="1" applyBorder="1" applyAlignment="1">
      <alignment horizontal="center" wrapText="1"/>
    </xf>
    <xf numFmtId="0" fontId="11" fillId="0" borderId="28" xfId="0" applyFont="1" applyBorder="1" applyAlignment="1">
      <alignment horizontal="center" wrapText="1"/>
    </xf>
    <xf numFmtId="0" fontId="11" fillId="0" borderId="26" xfId="0" applyFont="1" applyBorder="1" applyAlignment="1">
      <alignment wrapText="1"/>
    </xf>
    <xf numFmtId="0" fontId="11" fillId="0" borderId="5" xfId="0" applyFont="1" applyBorder="1" applyAlignment="1">
      <alignment horizontal="center" wrapText="1"/>
    </xf>
    <xf numFmtId="0" fontId="11" fillId="0" borderId="5" xfId="0" applyFont="1" applyBorder="1" applyAlignment="1">
      <alignment wrapText="1"/>
    </xf>
    <xf numFmtId="1" fontId="8" fillId="0" borderId="28" xfId="0" applyNumberFormat="1" applyFont="1" applyBorder="1" applyAlignment="1">
      <alignment wrapText="1"/>
    </xf>
    <xf numFmtId="0" fontId="11" fillId="0" borderId="0" xfId="0" applyFont="1" applyAlignment="1">
      <alignment horizontal="right"/>
    </xf>
    <xf numFmtId="0" fontId="8" fillId="0" borderId="28" xfId="0" applyFont="1" applyBorder="1" applyAlignment="1">
      <alignment wrapText="1"/>
    </xf>
    <xf numFmtId="0" fontId="11" fillId="2" borderId="5" xfId="0" applyFont="1" applyFill="1" applyBorder="1" applyAlignment="1">
      <alignment horizontal="right" wrapText="1"/>
    </xf>
    <xf numFmtId="0" fontId="8" fillId="2" borderId="5" xfId="0" applyFont="1" applyFill="1" applyBorder="1" applyAlignment="1">
      <alignment wrapText="1"/>
    </xf>
    <xf numFmtId="0" fontId="8" fillId="4" borderId="28" xfId="0" applyFont="1" applyFill="1" applyBorder="1" applyAlignment="1">
      <alignment wrapText="1"/>
    </xf>
    <xf numFmtId="0" fontId="90" fillId="0" borderId="0" xfId="0" applyFont="1" applyAlignment="1">
      <alignment horizontal="left" wrapText="1"/>
    </xf>
    <xf numFmtId="0" fontId="91" fillId="0" borderId="5" xfId="0" applyFont="1" applyBorder="1" applyAlignment="1">
      <alignment horizontal="left"/>
    </xf>
    <xf numFmtId="0" fontId="15" fillId="0" borderId="5" xfId="0" applyFont="1" applyBorder="1" applyAlignment="1">
      <alignment horizontal="center" wrapText="1"/>
    </xf>
    <xf numFmtId="0" fontId="92" fillId="0" borderId="5" xfId="0" applyFont="1" applyBorder="1" applyAlignment="1">
      <alignment horizontal="center" wrapText="1"/>
    </xf>
    <xf numFmtId="0" fontId="0" fillId="4" borderId="5" xfId="0" applyFill="1" applyBorder="1"/>
    <xf numFmtId="0" fontId="63" fillId="4" borderId="5" xfId="0" applyFont="1" applyFill="1" applyBorder="1"/>
    <xf numFmtId="1" fontId="0" fillId="0" borderId="5" xfId="0" applyNumberFormat="1" applyBorder="1"/>
    <xf numFmtId="0" fontId="0" fillId="0" borderId="25" xfId="0" applyBorder="1"/>
    <xf numFmtId="1" fontId="0" fillId="4" borderId="5" xfId="0" applyNumberFormat="1" applyFill="1" applyBorder="1"/>
    <xf numFmtId="0" fontId="15" fillId="0" borderId="5" xfId="0" applyFont="1" applyBorder="1"/>
    <xf numFmtId="1" fontId="91" fillId="4" borderId="5" xfId="0" applyNumberFormat="1" applyFont="1" applyFill="1" applyBorder="1"/>
    <xf numFmtId="0" fontId="92" fillId="4" borderId="5" xfId="0" applyFont="1" applyFill="1" applyBorder="1" applyAlignment="1">
      <alignment horizontal="center"/>
    </xf>
    <xf numFmtId="0" fontId="92" fillId="4" borderId="5" xfId="0" applyFont="1" applyFill="1" applyBorder="1" applyAlignment="1">
      <alignment horizontal="center" shrinkToFit="1"/>
    </xf>
    <xf numFmtId="0" fontId="92" fillId="4" borderId="5" xfId="0" applyFont="1" applyFill="1" applyBorder="1" applyAlignment="1">
      <alignment horizontal="center" wrapText="1"/>
    </xf>
    <xf numFmtId="1" fontId="63" fillId="4" borderId="5" xfId="0" applyNumberFormat="1" applyFont="1" applyFill="1" applyBorder="1"/>
    <xf numFmtId="1" fontId="8" fillId="4" borderId="5" xfId="0" applyNumberFormat="1" applyFont="1" applyFill="1" applyBorder="1"/>
    <xf numFmtId="1" fontId="91" fillId="0" borderId="5" xfId="0" applyNumberFormat="1" applyFont="1" applyBorder="1"/>
    <xf numFmtId="0" fontId="91" fillId="0" borderId="0" xfId="0" applyFont="1"/>
    <xf numFmtId="0" fontId="93" fillId="0" borderId="5" xfId="0" applyFont="1" applyBorder="1"/>
    <xf numFmtId="0" fontId="91" fillId="0" borderId="5" xfId="0" applyFont="1" applyBorder="1"/>
    <xf numFmtId="0" fontId="92" fillId="0" borderId="5" xfId="0" applyFont="1" applyBorder="1" applyAlignment="1">
      <alignment horizontal="center"/>
    </xf>
    <xf numFmtId="1" fontId="91" fillId="0" borderId="25" xfId="0" applyNumberFormat="1" applyFont="1" applyBorder="1"/>
    <xf numFmtId="1" fontId="34" fillId="2" borderId="0" xfId="0" applyNumberFormat="1" applyFont="1" applyFill="1"/>
    <xf numFmtId="1" fontId="34" fillId="2" borderId="0" xfId="0" applyNumberFormat="1" applyFont="1" applyFill="1" applyAlignment="1">
      <alignment horizontal="center"/>
    </xf>
    <xf numFmtId="1" fontId="34" fillId="0" borderId="0" xfId="0" applyNumberFormat="1" applyFont="1"/>
    <xf numFmtId="1" fontId="28" fillId="0" borderId="0" xfId="0" applyNumberFormat="1" applyFont="1"/>
    <xf numFmtId="1" fontId="34" fillId="0" borderId="0" xfId="0" applyNumberFormat="1" applyFont="1" applyAlignment="1">
      <alignment horizontal="center"/>
    </xf>
    <xf numFmtId="1" fontId="34" fillId="0" borderId="0" xfId="0" applyNumberFormat="1" applyFont="1" applyAlignment="1">
      <alignment horizontal="left"/>
    </xf>
    <xf numFmtId="1" fontId="28" fillId="2" borderId="33" xfId="0" applyNumberFormat="1" applyFont="1" applyFill="1" applyBorder="1" applyAlignment="1">
      <alignment vertical="center" wrapText="1"/>
    </xf>
    <xf numFmtId="1" fontId="34" fillId="0" borderId="4" xfId="0" applyNumberFormat="1" applyFont="1" applyBorder="1"/>
    <xf numFmtId="1" fontId="28" fillId="0" borderId="5" xfId="0" applyNumberFormat="1" applyFont="1" applyBorder="1"/>
    <xf numFmtId="1" fontId="28" fillId="0" borderId="26" xfId="0" applyNumberFormat="1" applyFont="1" applyBorder="1"/>
    <xf numFmtId="1" fontId="34" fillId="0" borderId="5" xfId="0" applyNumberFormat="1" applyFont="1" applyBorder="1"/>
    <xf numFmtId="1" fontId="28" fillId="4" borderId="5" xfId="0" applyNumberFormat="1" applyFont="1" applyFill="1" applyBorder="1"/>
    <xf numFmtId="1" fontId="34" fillId="0" borderId="7" xfId="0" applyNumberFormat="1" applyFont="1" applyBorder="1"/>
    <xf numFmtId="1" fontId="34" fillId="0" borderId="8" xfId="0" applyNumberFormat="1" applyFont="1" applyBorder="1"/>
    <xf numFmtId="1" fontId="36" fillId="0" borderId="36" xfId="0" applyNumberFormat="1" applyFont="1" applyBorder="1" applyAlignment="1">
      <alignment horizontal="center" wrapText="1"/>
    </xf>
    <xf numFmtId="1" fontId="28" fillId="0" borderId="35" xfId="0" applyNumberFormat="1" applyFont="1" applyBorder="1"/>
    <xf numFmtId="1" fontId="34" fillId="0" borderId="6" xfId="0" applyNumberFormat="1" applyFont="1" applyBorder="1"/>
    <xf numFmtId="1" fontId="34" fillId="0" borderId="9" xfId="0" applyNumberFormat="1" applyFont="1" applyBorder="1"/>
    <xf numFmtId="1" fontId="34" fillId="0" borderId="0" xfId="0" applyNumberFormat="1" applyFont="1" applyAlignment="1">
      <alignment horizontal="right" vertical="center"/>
    </xf>
    <xf numFmtId="0" fontId="34" fillId="2" borderId="0" xfId="0" applyFont="1" applyFill="1"/>
    <xf numFmtId="0" fontId="28" fillId="2" borderId="0" xfId="0" applyFont="1" applyFill="1"/>
    <xf numFmtId="0" fontId="34" fillId="0" borderId="0" xfId="0" applyFont="1" applyAlignment="1">
      <alignment vertical="center"/>
    </xf>
    <xf numFmtId="0" fontId="28" fillId="0" borderId="0" xfId="0" applyFont="1" applyAlignment="1">
      <alignment vertical="center"/>
    </xf>
    <xf numFmtId="0" fontId="28" fillId="2" borderId="5" xfId="0" applyFont="1" applyFill="1" applyBorder="1" applyAlignment="1">
      <alignment vertical="center" wrapText="1"/>
    </xf>
    <xf numFmtId="0" fontId="34" fillId="0" borderId="5" xfId="0" applyFont="1" applyBorder="1" applyAlignment="1">
      <alignment vertical="center"/>
    </xf>
    <xf numFmtId="0" fontId="28" fillId="0" borderId="5" xfId="0" applyFont="1" applyBorder="1" applyAlignment="1">
      <alignment horizontal="center" vertical="center"/>
    </xf>
    <xf numFmtId="0" fontId="28" fillId="0" borderId="5" xfId="0" applyFont="1" applyBorder="1" applyAlignment="1">
      <alignment vertical="center"/>
    </xf>
    <xf numFmtId="1" fontId="28" fillId="0" borderId="5" xfId="0" applyNumberFormat="1" applyFont="1" applyBorder="1" applyAlignment="1">
      <alignment horizontal="right" vertical="center"/>
    </xf>
    <xf numFmtId="1" fontId="28" fillId="0" borderId="5" xfId="0" applyNumberFormat="1" applyFont="1" applyBorder="1" applyAlignment="1">
      <alignment vertical="center"/>
    </xf>
    <xf numFmtId="0" fontId="28" fillId="0" borderId="5" xfId="0" applyFont="1" applyBorder="1" applyAlignment="1">
      <alignment horizontal="right" vertical="center"/>
    </xf>
    <xf numFmtId="0" fontId="28" fillId="0" borderId="5" xfId="0" applyFont="1" applyBorder="1" applyAlignment="1">
      <alignment vertical="center" wrapText="1"/>
    </xf>
    <xf numFmtId="0" fontId="28" fillId="0" borderId="5" xfId="0" applyFont="1" applyBorder="1" applyAlignment="1">
      <alignment horizontal="right" vertical="center" wrapText="1"/>
    </xf>
    <xf numFmtId="0" fontId="28" fillId="0" borderId="5" xfId="0" applyFont="1" applyBorder="1" applyAlignment="1">
      <alignment horizontal="left" vertical="center"/>
    </xf>
    <xf numFmtId="1" fontId="34" fillId="0" borderId="5" xfId="0" applyNumberFormat="1" applyFont="1" applyBorder="1" applyAlignment="1">
      <alignment vertical="center"/>
    </xf>
    <xf numFmtId="0" fontId="8" fillId="0" borderId="5" xfId="3" applyFont="1" applyBorder="1" applyAlignment="1">
      <alignment horizontal="center"/>
    </xf>
    <xf numFmtId="1" fontId="8" fillId="0" borderId="5" xfId="3" applyNumberFormat="1" applyFont="1" applyBorder="1" applyAlignment="1">
      <alignment horizontal="right"/>
    </xf>
    <xf numFmtId="1" fontId="63" fillId="0" borderId="5" xfId="3" applyNumberFormat="1" applyBorder="1" applyAlignment="1">
      <alignment horizontal="right" vertical="center"/>
    </xf>
    <xf numFmtId="0" fontId="8" fillId="0" borderId="5" xfId="3" applyFont="1" applyBorder="1" applyAlignment="1">
      <alignment horizontal="right"/>
    </xf>
    <xf numFmtId="1" fontId="11" fillId="0" borderId="5" xfId="3" applyNumberFormat="1" applyFont="1" applyBorder="1" applyAlignment="1">
      <alignment horizontal="right"/>
    </xf>
    <xf numFmtId="0" fontId="28" fillId="0" borderId="0" xfId="0" applyFont="1" applyAlignment="1">
      <alignment horizontal="right" vertical="center"/>
    </xf>
    <xf numFmtId="1" fontId="28" fillId="0" borderId="0" xfId="0" applyNumberFormat="1" applyFont="1" applyAlignment="1">
      <alignment vertical="center"/>
    </xf>
    <xf numFmtId="2" fontId="28" fillId="0" borderId="0" xfId="0" applyNumberFormat="1" applyFont="1" applyAlignment="1">
      <alignment vertical="center"/>
    </xf>
    <xf numFmtId="2" fontId="28" fillId="0" borderId="0" xfId="0" applyNumberFormat="1" applyFont="1"/>
    <xf numFmtId="0" fontId="28" fillId="0" borderId="0" xfId="0" applyFont="1" applyAlignment="1">
      <alignment wrapText="1"/>
    </xf>
    <xf numFmtId="0" fontId="34" fillId="0" borderId="0" xfId="0" applyFont="1" applyAlignment="1">
      <alignment horizontal="right" vertical="center"/>
    </xf>
    <xf numFmtId="0" fontId="82" fillId="0" borderId="0" xfId="0" applyFont="1" applyAlignment="1">
      <alignment horizontal="center" vertical="center"/>
    </xf>
    <xf numFmtId="0" fontId="82" fillId="2" borderId="2" xfId="0" applyFont="1" applyFill="1" applyBorder="1" applyAlignment="1">
      <alignment horizontal="center" vertical="center"/>
    </xf>
    <xf numFmtId="2" fontId="82" fillId="2" borderId="5" xfId="0" applyNumberFormat="1" applyFont="1" applyFill="1" applyBorder="1" applyAlignment="1">
      <alignment horizontal="center" vertical="center" wrapText="1"/>
    </xf>
    <xf numFmtId="0" fontId="82" fillId="2" borderId="0" xfId="0" applyFont="1" applyFill="1" applyAlignment="1">
      <alignment horizontal="center" vertical="center"/>
    </xf>
    <xf numFmtId="0" fontId="82" fillId="2" borderId="5" xfId="0" applyFont="1" applyFill="1" applyBorder="1" applyAlignment="1">
      <alignment horizontal="center" vertical="center" wrapText="1"/>
    </xf>
    <xf numFmtId="0" fontId="82" fillId="0" borderId="4" xfId="0" applyFont="1" applyBorder="1" applyAlignment="1">
      <alignment vertical="center" wrapText="1"/>
    </xf>
    <xf numFmtId="2" fontId="28" fillId="0" borderId="5" xfId="0" applyNumberFormat="1" applyFont="1" applyBorder="1" applyAlignment="1">
      <alignment horizontal="center" vertical="center" wrapText="1"/>
    </xf>
    <xf numFmtId="0" fontId="28" fillId="0" borderId="5" xfId="0" applyFont="1" applyBorder="1" applyAlignment="1">
      <alignment horizontal="center" vertical="center" wrapText="1"/>
    </xf>
    <xf numFmtId="0" fontId="28" fillId="0" borderId="4" xfId="0" applyFont="1" applyBorder="1" applyAlignment="1">
      <alignment vertical="center" wrapText="1"/>
    </xf>
    <xf numFmtId="1" fontId="28" fillId="0" borderId="5" xfId="0" applyNumberFormat="1" applyFont="1" applyBorder="1" applyAlignment="1">
      <alignment vertical="center" wrapText="1"/>
    </xf>
    <xf numFmtId="1" fontId="34" fillId="0" borderId="5" xfId="0" applyNumberFormat="1" applyFont="1" applyBorder="1" applyAlignment="1">
      <alignment vertical="center" wrapText="1"/>
    </xf>
    <xf numFmtId="0" fontId="34" fillId="0" borderId="42" xfId="0" applyFont="1" applyBorder="1" applyAlignment="1">
      <alignment vertical="center"/>
    </xf>
    <xf numFmtId="1" fontId="34" fillId="0" borderId="17" xfId="0" applyNumberFormat="1" applyFont="1" applyBorder="1" applyAlignment="1">
      <alignment vertical="center"/>
    </xf>
    <xf numFmtId="0" fontId="82" fillId="0" borderId="4" xfId="0" applyFont="1" applyBorder="1" applyAlignment="1">
      <alignment vertical="center"/>
    </xf>
    <xf numFmtId="0" fontId="34" fillId="0" borderId="7" xfId="0" applyFont="1" applyBorder="1" applyAlignment="1">
      <alignment horizontal="left" vertical="center"/>
    </xf>
    <xf numFmtId="1" fontId="34" fillId="0" borderId="8" xfId="0" applyNumberFormat="1" applyFont="1" applyBorder="1" applyAlignment="1">
      <alignment horizontal="right" vertical="center"/>
    </xf>
    <xf numFmtId="1" fontId="63" fillId="0" borderId="5" xfId="0" applyNumberFormat="1" applyFont="1" applyBorder="1" applyAlignment="1">
      <alignment vertical="center" wrapText="1"/>
    </xf>
    <xf numFmtId="1" fontId="63" fillId="0" borderId="0" xfId="0" applyNumberFormat="1" applyFont="1" applyAlignment="1">
      <alignment vertical="center" wrapText="1"/>
    </xf>
    <xf numFmtId="0" fontId="8" fillId="4" borderId="5" xfId="0" applyFont="1" applyFill="1" applyBorder="1"/>
    <xf numFmtId="0" fontId="36" fillId="0" borderId="36" xfId="0" applyFont="1" applyBorder="1" applyAlignment="1">
      <alignment horizontal="right" vertical="center"/>
    </xf>
    <xf numFmtId="0" fontId="82" fillId="2" borderId="3" xfId="0" applyFont="1" applyFill="1" applyBorder="1" applyAlignment="1">
      <alignment horizontal="center" vertical="center"/>
    </xf>
    <xf numFmtId="0" fontId="82" fillId="0" borderId="6" xfId="0" applyFont="1" applyBorder="1" applyAlignment="1">
      <alignment horizontal="center" vertical="center" wrapText="1"/>
    </xf>
    <xf numFmtId="0" fontId="28" fillId="0" borderId="6" xfId="0" applyFont="1" applyBorder="1" applyAlignment="1">
      <alignment horizontal="center" vertical="center" wrapText="1"/>
    </xf>
    <xf numFmtId="1" fontId="34" fillId="0" borderId="6" xfId="0" applyNumberFormat="1" applyFont="1" applyBorder="1" applyAlignment="1">
      <alignment vertical="center" wrapText="1"/>
    </xf>
    <xf numFmtId="2" fontId="28" fillId="0" borderId="0" xfId="0" applyNumberFormat="1" applyFont="1" applyAlignment="1">
      <alignment wrapText="1"/>
    </xf>
    <xf numFmtId="1" fontId="28" fillId="0" borderId="6" xfId="0" applyNumberFormat="1" applyFont="1" applyBorder="1" applyAlignment="1">
      <alignment vertical="center" wrapText="1"/>
    </xf>
    <xf numFmtId="1" fontId="34" fillId="0" borderId="9" xfId="0" applyNumberFormat="1" applyFont="1" applyBorder="1" applyAlignment="1">
      <alignment horizontal="right" vertical="center"/>
    </xf>
    <xf numFmtId="0" fontId="88" fillId="0" borderId="0" xfId="0" applyFont="1" applyAlignment="1">
      <alignment horizontal="center" vertical="center"/>
    </xf>
    <xf numFmtId="0" fontId="82" fillId="2" borderId="1" xfId="0" applyFont="1" applyFill="1" applyBorder="1" applyAlignment="1">
      <alignment vertical="center"/>
    </xf>
    <xf numFmtId="0" fontId="63" fillId="0" borderId="0" xfId="0" applyFont="1" applyAlignment="1">
      <alignment vertical="center"/>
    </xf>
    <xf numFmtId="0" fontId="34" fillId="0" borderId="7" xfId="0" applyFont="1" applyBorder="1" applyAlignment="1">
      <alignment horizontal="left" vertical="center" wrapText="1"/>
    </xf>
    <xf numFmtId="1" fontId="80" fillId="0" borderId="0" xfId="0" applyNumberFormat="1" applyFont="1" applyAlignment="1">
      <alignment vertical="center"/>
    </xf>
    <xf numFmtId="1" fontId="94" fillId="0" borderId="0" xfId="0" applyNumberFormat="1" applyFont="1" applyAlignment="1">
      <alignment horizontal="center" vertical="center"/>
    </xf>
    <xf numFmtId="1" fontId="82" fillId="2" borderId="1" xfId="0" applyNumberFormat="1" applyFont="1" applyFill="1" applyBorder="1" applyAlignment="1">
      <alignment vertical="center"/>
    </xf>
    <xf numFmtId="1" fontId="63" fillId="2" borderId="0" xfId="0" applyNumberFormat="1" applyFont="1" applyFill="1" applyAlignment="1">
      <alignment vertical="center"/>
    </xf>
    <xf numFmtId="1" fontId="80" fillId="0" borderId="4" xfId="0" applyNumberFormat="1" applyFont="1" applyBorder="1" applyAlignment="1">
      <alignment vertical="center" wrapText="1"/>
    </xf>
    <xf numFmtId="1" fontId="69" fillId="0" borderId="24" xfId="0" applyNumberFormat="1" applyFont="1" applyBorder="1" applyAlignment="1">
      <alignment vertical="center" wrapText="1"/>
    </xf>
    <xf numFmtId="1" fontId="69" fillId="0" borderId="43" xfId="0" applyNumberFormat="1" applyFont="1" applyBorder="1" applyAlignment="1">
      <alignment vertical="center" wrapText="1"/>
    </xf>
    <xf numFmtId="1" fontId="63" fillId="0" borderId="17" xfId="0" applyNumberFormat="1" applyFont="1" applyBorder="1" applyAlignment="1">
      <alignment vertical="center"/>
    </xf>
    <xf numFmtId="1" fontId="69" fillId="0" borderId="43" xfId="0" applyNumberFormat="1" applyFont="1" applyBorder="1" applyAlignment="1">
      <alignment vertical="top" wrapText="1"/>
    </xf>
    <xf numFmtId="1" fontId="63" fillId="0" borderId="15" xfId="0" applyNumberFormat="1" applyFont="1" applyBorder="1" applyAlignment="1">
      <alignment vertical="center"/>
    </xf>
    <xf numFmtId="1" fontId="79" fillId="0" borderId="44" xfId="0" applyNumberFormat="1" applyFont="1" applyBorder="1" applyAlignment="1">
      <alignment horizontal="left" vertical="center" wrapText="1"/>
    </xf>
    <xf numFmtId="1" fontId="80" fillId="0" borderId="8" xfId="0" applyNumberFormat="1" applyFont="1" applyBorder="1" applyAlignment="1">
      <alignment horizontal="right" vertical="center" wrapText="1"/>
    </xf>
    <xf numFmtId="1" fontId="80" fillId="0" borderId="9" xfId="0" applyNumberFormat="1" applyFont="1" applyBorder="1" applyAlignment="1">
      <alignment horizontal="right" vertical="center" wrapText="1"/>
    </xf>
    <xf numFmtId="1" fontId="81" fillId="0" borderId="0" xfId="0" applyNumberFormat="1" applyFont="1"/>
    <xf numFmtId="0" fontId="80" fillId="0" borderId="0" xfId="0" applyFont="1" applyAlignment="1">
      <alignment vertical="center"/>
    </xf>
    <xf numFmtId="0" fontId="94" fillId="0" borderId="0" xfId="0" applyFont="1" applyAlignment="1">
      <alignment horizontal="center" vertical="center"/>
    </xf>
    <xf numFmtId="0" fontId="34" fillId="2" borderId="1" xfId="0" applyFont="1" applyFill="1" applyBorder="1" applyAlignment="1">
      <alignment vertical="center"/>
    </xf>
    <xf numFmtId="0" fontId="34" fillId="2" borderId="2" xfId="0" applyFont="1" applyFill="1" applyBorder="1" applyAlignment="1">
      <alignment horizontal="center" vertical="center"/>
    </xf>
    <xf numFmtId="0" fontId="34" fillId="2" borderId="3" xfId="0" applyFont="1" applyFill="1" applyBorder="1" applyAlignment="1">
      <alignment horizontal="center" vertical="center"/>
    </xf>
    <xf numFmtId="0" fontId="34" fillId="2" borderId="0" xfId="0" applyFont="1" applyFill="1" applyAlignment="1">
      <alignment vertical="center"/>
    </xf>
    <xf numFmtId="0" fontId="93" fillId="0" borderId="0" xfId="0" applyFont="1"/>
    <xf numFmtId="0" fontId="95" fillId="0" borderId="4" xfId="0" applyFont="1" applyBorder="1" applyAlignment="1">
      <alignment vertical="center" wrapText="1"/>
    </xf>
    <xf numFmtId="0" fontId="80" fillId="0" borderId="4" xfId="0" applyFont="1" applyBorder="1" applyAlignment="1">
      <alignment horizontal="center" vertical="center" wrapText="1"/>
    </xf>
    <xf numFmtId="0" fontId="34" fillId="0" borderId="7" xfId="0" applyFont="1" applyBorder="1" applyAlignment="1">
      <alignment vertical="center"/>
    </xf>
    <xf numFmtId="0" fontId="35" fillId="0" borderId="4" xfId="0" applyFont="1" applyBorder="1" applyAlignment="1">
      <alignment vertical="center"/>
    </xf>
    <xf numFmtId="1" fontId="69" fillId="0" borderId="5" xfId="0" applyNumberFormat="1" applyFont="1" applyBorder="1" applyAlignment="1">
      <alignment vertical="center"/>
    </xf>
    <xf numFmtId="1" fontId="69" fillId="0" borderId="6" xfId="0" applyNumberFormat="1" applyFont="1" applyBorder="1" applyAlignment="1">
      <alignment vertical="center"/>
    </xf>
    <xf numFmtId="0" fontId="96" fillId="0" borderId="4" xfId="0" applyFont="1" applyBorder="1" applyAlignment="1">
      <alignment horizontal="left" vertical="center" wrapText="1"/>
    </xf>
    <xf numFmtId="0" fontId="96" fillId="0" borderId="7" xfId="0" applyFont="1" applyBorder="1" applyAlignment="1">
      <alignment vertical="center" wrapText="1"/>
    </xf>
    <xf numFmtId="1" fontId="69" fillId="0" borderId="8" xfId="0" applyNumberFormat="1" applyFont="1" applyBorder="1" applyAlignment="1">
      <alignment vertical="center"/>
    </xf>
    <xf numFmtId="1" fontId="69" fillId="0" borderId="9" xfId="0" applyNumberFormat="1" applyFont="1" applyBorder="1" applyAlignment="1">
      <alignment vertical="center"/>
    </xf>
    <xf numFmtId="0" fontId="69" fillId="0" borderId="0" xfId="0" applyFont="1" applyAlignment="1">
      <alignment vertical="center"/>
    </xf>
    <xf numFmtId="1" fontId="69" fillId="0" borderId="0" xfId="0" applyNumberFormat="1" applyFont="1" applyAlignment="1">
      <alignment vertical="center"/>
    </xf>
    <xf numFmtId="0" fontId="0" fillId="2" borderId="0" xfId="0" applyFill="1"/>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0" fillId="2" borderId="0" xfId="0" applyFill="1" applyAlignment="1">
      <alignment vertical="center"/>
    </xf>
    <xf numFmtId="0" fontId="78" fillId="2" borderId="33" xfId="0" applyFont="1" applyFill="1" applyBorder="1" applyAlignment="1">
      <alignment vertical="center"/>
    </xf>
    <xf numFmtId="0" fontId="15" fillId="2" borderId="26" xfId="0" applyFont="1" applyFill="1" applyBorder="1" applyAlignment="1">
      <alignment horizontal="center" vertical="center"/>
    </xf>
    <xf numFmtId="0" fontId="15" fillId="2" borderId="35" xfId="0" applyFont="1" applyFill="1" applyBorder="1" applyAlignment="1">
      <alignment horizontal="center" vertical="center"/>
    </xf>
    <xf numFmtId="1" fontId="15" fillId="0" borderId="45" xfId="0" applyNumberFormat="1" applyFont="1" applyBorder="1" applyAlignment="1">
      <alignment vertical="center"/>
    </xf>
    <xf numFmtId="0" fontId="63" fillId="0" borderId="1" xfId="0" applyFont="1" applyBorder="1" applyAlignment="1">
      <alignment vertical="center"/>
    </xf>
    <xf numFmtId="0" fontId="63" fillId="0" borderId="4" xfId="0" applyFont="1" applyBorder="1" applyAlignment="1">
      <alignment vertical="center"/>
    </xf>
    <xf numFmtId="0" fontId="69" fillId="0" borderId="5" xfId="0" applyFont="1" applyBorder="1" applyAlignment="1">
      <alignment horizontal="center" vertical="center"/>
    </xf>
    <xf numFmtId="0" fontId="69" fillId="0" borderId="6" xfId="0" applyFont="1" applyBorder="1" applyAlignment="1">
      <alignment horizontal="center" vertical="center"/>
    </xf>
    <xf numFmtId="1" fontId="80" fillId="0" borderId="5" xfId="0" applyNumberFormat="1" applyFont="1" applyBorder="1" applyAlignment="1">
      <alignment vertical="center" wrapText="1"/>
    </xf>
    <xf numFmtId="1" fontId="80" fillId="0" borderId="6" xfId="0" applyNumberFormat="1" applyFont="1" applyBorder="1" applyAlignment="1">
      <alignment vertical="center" wrapText="1"/>
    </xf>
    <xf numFmtId="0" fontId="15" fillId="0" borderId="7" xfId="0" applyFont="1" applyBorder="1" applyAlignment="1">
      <alignment vertical="center" wrapText="1"/>
    </xf>
    <xf numFmtId="1" fontId="97" fillId="0" borderId="8" xfId="0" applyNumberFormat="1" applyFont="1" applyBorder="1" applyAlignment="1">
      <alignment vertical="center" wrapText="1"/>
    </xf>
    <xf numFmtId="1" fontId="97" fillId="0" borderId="9" xfId="0" applyNumberFormat="1" applyFont="1" applyBorder="1" applyAlignment="1">
      <alignment vertical="center" wrapText="1"/>
    </xf>
    <xf numFmtId="0" fontId="98" fillId="0" borderId="0" xfId="0" applyFont="1" applyAlignment="1">
      <alignment horizontal="center"/>
    </xf>
    <xf numFmtId="0" fontId="41" fillId="0" borderId="0" xfId="0" applyFont="1" applyAlignment="1">
      <alignment horizontal="center"/>
    </xf>
    <xf numFmtId="0" fontId="69" fillId="0" borderId="42" xfId="0" applyFont="1" applyBorder="1" applyAlignment="1">
      <alignment vertical="center"/>
    </xf>
    <xf numFmtId="1" fontId="63" fillId="0" borderId="34" xfId="0" applyNumberFormat="1" applyFont="1" applyBorder="1" applyAlignment="1">
      <alignment vertical="center"/>
    </xf>
    <xf numFmtId="0" fontId="41" fillId="0" borderId="1" xfId="0" applyFont="1" applyBorder="1" applyAlignment="1">
      <alignment horizontal="center" vertical="center"/>
    </xf>
    <xf numFmtId="0" fontId="41" fillId="0" borderId="2" xfId="0" applyFont="1" applyBorder="1" applyAlignment="1">
      <alignment horizontal="center" vertical="center"/>
    </xf>
    <xf numFmtId="0" fontId="41" fillId="0" borderId="3" xfId="0" applyFont="1" applyBorder="1" applyAlignment="1">
      <alignment horizontal="center" vertical="center" wrapText="1"/>
    </xf>
    <xf numFmtId="0" fontId="98" fillId="0" borderId="4" xfId="0" applyFont="1" applyBorder="1" applyAlignment="1">
      <alignment horizontal="center"/>
    </xf>
    <xf numFmtId="0" fontId="98" fillId="0" borderId="5" xfId="0" applyFont="1" applyBorder="1" applyAlignment="1">
      <alignment horizontal="center"/>
    </xf>
    <xf numFmtId="0" fontId="98" fillId="0" borderId="6" xfId="0" applyFont="1" applyBorder="1" applyAlignment="1">
      <alignment horizontal="center"/>
    </xf>
    <xf numFmtId="0" fontId="100" fillId="0" borderId="4" xfId="0" applyFont="1" applyBorder="1" applyAlignment="1">
      <alignment horizontal="center" vertical="center"/>
    </xf>
    <xf numFmtId="0" fontId="100" fillId="0" borderId="5" xfId="0" applyFont="1" applyBorder="1" applyAlignment="1">
      <alignment horizontal="left" vertical="center" shrinkToFit="1"/>
    </xf>
    <xf numFmtId="49" fontId="100" fillId="0" borderId="6" xfId="0" applyNumberFormat="1" applyFont="1" applyBorder="1" applyAlignment="1">
      <alignment horizontal="right" vertical="center"/>
    </xf>
    <xf numFmtId="167" fontId="100" fillId="0" borderId="5" xfId="0" applyNumberFormat="1" applyFont="1" applyBorder="1" applyAlignment="1">
      <alignment horizontal="left" vertical="center"/>
    </xf>
    <xf numFmtId="0" fontId="100" fillId="0" borderId="6" xfId="0" applyFont="1" applyBorder="1" applyAlignment="1">
      <alignment vertical="center"/>
    </xf>
    <xf numFmtId="167" fontId="100" fillId="0" borderId="8" xfId="0" applyNumberFormat="1" applyFont="1" applyBorder="1" applyAlignment="1">
      <alignment horizontal="left" vertical="center"/>
    </xf>
    <xf numFmtId="0" fontId="100" fillId="0" borderId="9" xfId="0" applyFont="1" applyBorder="1" applyAlignment="1">
      <alignment vertical="center"/>
    </xf>
    <xf numFmtId="0" fontId="15" fillId="2" borderId="0" xfId="0" applyFont="1" applyFill="1"/>
    <xf numFmtId="0" fontId="15" fillId="2" borderId="0" xfId="0" applyFont="1" applyFill="1" applyAlignment="1">
      <alignment wrapText="1"/>
    </xf>
    <xf numFmtId="0" fontId="84" fillId="0" borderId="0" xfId="0" applyFont="1"/>
    <xf numFmtId="0" fontId="101" fillId="0" borderId="0" xfId="0" applyFont="1"/>
    <xf numFmtId="0" fontId="101" fillId="0" borderId="0" xfId="0" applyFont="1" applyAlignment="1">
      <alignment wrapText="1"/>
    </xf>
    <xf numFmtId="0" fontId="88" fillId="0" borderId="0" xfId="0" applyFont="1" applyAlignment="1">
      <alignment horizontal="left" vertical="center"/>
    </xf>
    <xf numFmtId="0" fontId="63" fillId="0" borderId="0" xfId="0" applyFont="1" applyAlignment="1">
      <alignment horizontal="center" vertical="center"/>
    </xf>
    <xf numFmtId="0" fontId="94" fillId="0" borderId="0" xfId="0" applyFont="1" applyAlignment="1">
      <alignment horizontal="right" vertical="center"/>
    </xf>
    <xf numFmtId="0" fontId="15" fillId="2" borderId="1" xfId="0" applyFont="1" applyFill="1" applyBorder="1" applyAlignment="1">
      <alignment vertical="center"/>
    </xf>
    <xf numFmtId="0" fontId="82" fillId="2" borderId="3" xfId="0" applyFont="1" applyFill="1" applyBorder="1" applyAlignment="1">
      <alignment vertical="center"/>
    </xf>
    <xf numFmtId="0" fontId="15" fillId="2" borderId="4" xfId="0" applyFont="1" applyFill="1" applyBorder="1" applyAlignment="1">
      <alignment vertical="center" wrapText="1"/>
    </xf>
    <xf numFmtId="0" fontId="15" fillId="2" borderId="5" xfId="0" applyFont="1" applyFill="1" applyBorder="1" applyAlignment="1">
      <alignment vertical="center" wrapText="1"/>
    </xf>
    <xf numFmtId="0" fontId="41" fillId="2" borderId="5" xfId="0" applyFont="1" applyFill="1" applyBorder="1" applyAlignment="1">
      <alignment horizontal="center" vertical="top" wrapText="1"/>
    </xf>
    <xf numFmtId="0" fontId="34" fillId="2" borderId="5" xfId="0" applyFont="1" applyFill="1" applyBorder="1" applyAlignment="1">
      <alignment horizontal="center" vertical="top" wrapText="1"/>
    </xf>
    <xf numFmtId="0" fontId="15" fillId="2" borderId="6" xfId="0" applyFont="1" applyFill="1" applyBorder="1" applyAlignment="1">
      <alignment vertical="center" wrapText="1"/>
    </xf>
    <xf numFmtId="1" fontId="63" fillId="0" borderId="5" xfId="0" applyNumberFormat="1" applyFont="1" applyBorder="1" applyAlignment="1">
      <alignment horizontal="right" vertical="center"/>
    </xf>
    <xf numFmtId="1" fontId="63" fillId="0" borderId="6" xfId="0" applyNumberFormat="1" applyFont="1" applyBorder="1" applyAlignment="1">
      <alignment horizontal="right" vertical="center"/>
    </xf>
    <xf numFmtId="0" fontId="102" fillId="0" borderId="0" xfId="0" applyFont="1"/>
    <xf numFmtId="2" fontId="93" fillId="0" borderId="0" xfId="0" applyNumberFormat="1" applyFont="1"/>
    <xf numFmtId="0" fontId="63" fillId="0" borderId="5" xfId="0" applyFont="1" applyBorder="1" applyAlignment="1">
      <alignment vertical="center" wrapText="1"/>
    </xf>
    <xf numFmtId="0" fontId="103" fillId="0" borderId="0" xfId="0" applyFont="1" applyAlignment="1">
      <alignment horizontal="right"/>
    </xf>
    <xf numFmtId="0" fontId="104" fillId="0" borderId="0" xfId="0" applyFont="1" applyAlignment="1">
      <alignment horizontal="right"/>
    </xf>
    <xf numFmtId="1" fontId="15" fillId="0" borderId="5" xfId="0" applyNumberFormat="1" applyFont="1" applyBorder="1" applyAlignment="1">
      <alignment horizontal="right" vertical="center"/>
    </xf>
    <xf numFmtId="0" fontId="103" fillId="0" borderId="0" xfId="0" applyFont="1"/>
    <xf numFmtId="2" fontId="93" fillId="0" borderId="48" xfId="0" applyNumberFormat="1" applyFont="1" applyBorder="1"/>
    <xf numFmtId="0" fontId="105" fillId="0" borderId="0" xfId="0" applyFont="1"/>
    <xf numFmtId="0" fontId="63" fillId="0" borderId="4" xfId="0" applyFont="1" applyBorder="1" applyAlignment="1">
      <alignment vertical="center" wrapText="1"/>
    </xf>
    <xf numFmtId="1" fontId="15" fillId="0" borderId="5" xfId="0" applyNumberFormat="1" applyFont="1" applyBorder="1" applyAlignment="1">
      <alignment vertical="center" wrapText="1"/>
    </xf>
    <xf numFmtId="1" fontId="15" fillId="0" borderId="6" xfId="0" applyNumberFormat="1" applyFont="1" applyBorder="1" applyAlignment="1">
      <alignment vertical="center" wrapText="1"/>
    </xf>
    <xf numFmtId="0" fontId="105" fillId="0" borderId="0" xfId="0" applyFont="1" applyAlignment="1">
      <alignment wrapText="1"/>
    </xf>
    <xf numFmtId="0" fontId="15" fillId="2" borderId="7" xfId="0" applyFont="1" applyFill="1" applyBorder="1" applyAlignment="1">
      <alignment vertical="center"/>
    </xf>
    <xf numFmtId="0" fontId="34" fillId="2" borderId="8" xfId="0" applyFont="1" applyFill="1" applyBorder="1" applyAlignment="1">
      <alignment vertical="center"/>
    </xf>
    <xf numFmtId="1" fontId="15" fillId="2" borderId="8" xfId="0" applyNumberFormat="1" applyFont="1" applyFill="1" applyBorder="1" applyAlignment="1">
      <alignment vertical="center"/>
    </xf>
    <xf numFmtId="1" fontId="15" fillId="2" borderId="8" xfId="0" applyNumberFormat="1" applyFont="1" applyFill="1" applyBorder="1" applyAlignment="1">
      <alignment horizontal="right" vertical="center"/>
    </xf>
    <xf numFmtId="1" fontId="15" fillId="2" borderId="9" xfId="0" applyNumberFormat="1" applyFont="1" applyFill="1" applyBorder="1" applyAlignment="1">
      <alignment horizontal="right" vertical="center"/>
    </xf>
    <xf numFmtId="0" fontId="71" fillId="2" borderId="0" xfId="0" applyFont="1" applyFill="1"/>
    <xf numFmtId="2" fontId="106" fillId="2" borderId="0" xfId="0" applyNumberFormat="1" applyFont="1" applyFill="1"/>
    <xf numFmtId="1" fontId="107" fillId="0" borderId="0" xfId="0" applyNumberFormat="1" applyFont="1" applyAlignment="1">
      <alignment horizontal="center" vertical="center"/>
    </xf>
    <xf numFmtId="1" fontId="108" fillId="0" borderId="0" xfId="0" applyNumberFormat="1" applyFont="1" applyAlignment="1">
      <alignment vertical="center"/>
    </xf>
    <xf numFmtId="1" fontId="109" fillId="0" borderId="0" xfId="0" applyNumberFormat="1" applyFont="1" applyAlignment="1">
      <alignment vertical="center"/>
    </xf>
    <xf numFmtId="1" fontId="109" fillId="0" borderId="0" xfId="0" applyNumberFormat="1" applyFont="1" applyAlignment="1">
      <alignment vertical="center" wrapText="1"/>
    </xf>
    <xf numFmtId="1" fontId="27" fillId="0" borderId="0" xfId="0" applyNumberFormat="1" applyFont="1" applyAlignment="1">
      <alignment vertical="center"/>
    </xf>
    <xf numFmtId="1" fontId="30" fillId="0" borderId="0" xfId="0" applyNumberFormat="1" applyFont="1" applyAlignment="1">
      <alignment horizontal="center" vertical="center"/>
    </xf>
    <xf numFmtId="1" fontId="11" fillId="0" borderId="0" xfId="0" applyNumberFormat="1" applyFont="1" applyAlignment="1">
      <alignment horizontal="center" vertical="center"/>
    </xf>
    <xf numFmtId="1" fontId="30" fillId="0" borderId="0" xfId="0" applyNumberFormat="1" applyFont="1" applyAlignment="1">
      <alignment vertical="center"/>
    </xf>
    <xf numFmtId="1" fontId="30" fillId="0" borderId="1" xfId="0" applyNumberFormat="1" applyFont="1" applyBorder="1" applyAlignment="1">
      <alignment horizontal="center" vertical="center"/>
    </xf>
    <xf numFmtId="1" fontId="30" fillId="0" borderId="37" xfId="0" applyNumberFormat="1" applyFont="1" applyBorder="1" applyAlignment="1">
      <alignment horizontal="center" vertical="center"/>
    </xf>
    <xf numFmtId="1" fontId="30" fillId="0" borderId="2" xfId="0" applyNumberFormat="1" applyFont="1" applyBorder="1" applyAlignment="1">
      <alignment horizontal="center" vertical="center" wrapText="1"/>
    </xf>
    <xf numFmtId="1" fontId="30" fillId="0" borderId="2" xfId="0" applyNumberFormat="1" applyFont="1" applyBorder="1" applyAlignment="1">
      <alignment horizontal="center" vertical="center"/>
    </xf>
    <xf numFmtId="1" fontId="30" fillId="0" borderId="3" xfId="0" applyNumberFormat="1" applyFont="1" applyBorder="1" applyAlignment="1">
      <alignment horizontal="center" vertical="center"/>
    </xf>
    <xf numFmtId="1" fontId="110" fillId="0" borderId="4" xfId="0" applyNumberFormat="1" applyFont="1" applyBorder="1" applyAlignment="1">
      <alignment horizontal="center" vertical="center"/>
    </xf>
    <xf numFmtId="1" fontId="110" fillId="0" borderId="10" xfId="0" applyNumberFormat="1" applyFont="1" applyBorder="1" applyAlignment="1">
      <alignment horizontal="center" vertical="center"/>
    </xf>
    <xf numFmtId="1" fontId="110" fillId="0" borderId="5" xfId="0" applyNumberFormat="1" applyFont="1" applyBorder="1" applyAlignment="1">
      <alignment horizontal="center" vertical="center"/>
    </xf>
    <xf numFmtId="1" fontId="110" fillId="0" borderId="6" xfId="0" applyNumberFormat="1" applyFont="1" applyBorder="1" applyAlignment="1">
      <alignment horizontal="center" vertical="center"/>
    </xf>
    <xf numFmtId="1" fontId="30" fillId="0" borderId="4" xfId="0" applyNumberFormat="1" applyFont="1" applyBorder="1" applyAlignment="1">
      <alignment horizontal="center" vertical="center"/>
    </xf>
    <xf numFmtId="1" fontId="30" fillId="0" borderId="10" xfId="0" applyNumberFormat="1" applyFont="1" applyBorder="1" applyAlignment="1">
      <alignment vertical="center"/>
    </xf>
    <xf numFmtId="1" fontId="30" fillId="0" borderId="5" xfId="0" applyNumberFormat="1" applyFont="1" applyBorder="1" applyAlignment="1">
      <alignment vertical="center"/>
    </xf>
    <xf numFmtId="1" fontId="30" fillId="0" borderId="5" xfId="0" applyNumberFormat="1" applyFont="1" applyBorder="1" applyAlignment="1">
      <alignment horizontal="right" vertical="center"/>
    </xf>
    <xf numFmtId="1" fontId="27" fillId="0" borderId="5" xfId="0" applyNumberFormat="1" applyFont="1" applyBorder="1" applyAlignment="1">
      <alignment vertical="center"/>
    </xf>
    <xf numFmtId="1" fontId="30" fillId="0" borderId="10" xfId="0" applyNumberFormat="1" applyFont="1" applyBorder="1" applyAlignment="1">
      <alignment horizontal="left" vertical="center"/>
    </xf>
    <xf numFmtId="1" fontId="111" fillId="0" borderId="6" xfId="0" applyNumberFormat="1" applyFont="1" applyBorder="1" applyAlignment="1">
      <alignment vertical="center"/>
    </xf>
    <xf numFmtId="1" fontId="30" fillId="0" borderId="10" xfId="0" applyNumberFormat="1" applyFont="1" applyBorder="1" applyAlignment="1">
      <alignment vertical="center" wrapText="1"/>
    </xf>
    <xf numFmtId="1" fontId="30" fillId="0" borderId="5" xfId="0" applyNumberFormat="1" applyFont="1" applyBorder="1" applyAlignment="1">
      <alignment vertical="center" wrapText="1"/>
    </xf>
    <xf numFmtId="1" fontId="30" fillId="0" borderId="7" xfId="0" applyNumberFormat="1" applyFont="1" applyBorder="1" applyAlignment="1">
      <alignment horizontal="center" vertical="center"/>
    </xf>
    <xf numFmtId="1" fontId="30" fillId="0" borderId="38" xfId="0" applyNumberFormat="1" applyFont="1" applyBorder="1" applyAlignment="1">
      <alignment vertical="center"/>
    </xf>
    <xf numFmtId="1" fontId="30" fillId="0" borderId="8" xfId="0" applyNumberFormat="1" applyFont="1" applyBorder="1" applyAlignment="1">
      <alignment horizontal="right" vertical="center"/>
    </xf>
    <xf numFmtId="1" fontId="30" fillId="0" borderId="8" xfId="0" applyNumberFormat="1" applyFont="1" applyBorder="1" applyAlignment="1">
      <alignment vertical="center"/>
    </xf>
    <xf numFmtId="1" fontId="109" fillId="0" borderId="0" xfId="0" applyNumberFormat="1" applyFont="1" applyAlignment="1">
      <alignment horizontal="center" vertical="center" wrapText="1"/>
    </xf>
    <xf numFmtId="1" fontId="30" fillId="0" borderId="0" xfId="0" applyNumberFormat="1" applyFont="1" applyAlignment="1">
      <alignment vertical="center" wrapText="1"/>
    </xf>
    <xf numFmtId="1" fontId="11" fillId="0" borderId="0" xfId="0" applyNumberFormat="1" applyFont="1" applyAlignment="1">
      <alignment vertical="center"/>
    </xf>
    <xf numFmtId="0" fontId="27" fillId="0" borderId="0" xfId="0" applyFont="1" applyAlignment="1">
      <alignment vertical="center"/>
    </xf>
    <xf numFmtId="0" fontId="112" fillId="0" borderId="0" xfId="0" applyFont="1" applyAlignment="1">
      <alignment vertical="center"/>
    </xf>
    <xf numFmtId="0" fontId="88" fillId="0" borderId="0" xfId="0" applyFont="1" applyAlignment="1">
      <alignment vertical="center"/>
    </xf>
    <xf numFmtId="0" fontId="78" fillId="2" borderId="5" xfId="0" applyFont="1" applyFill="1" applyBorder="1" applyAlignment="1">
      <alignment horizontal="center" vertical="center"/>
    </xf>
    <xf numFmtId="0" fontId="78" fillId="0" borderId="5" xfId="0" applyFont="1" applyBorder="1" applyAlignment="1">
      <alignment horizontal="center" vertical="center"/>
    </xf>
    <xf numFmtId="0" fontId="78" fillId="2" borderId="5" xfId="0" applyFont="1" applyFill="1" applyBorder="1" applyAlignment="1">
      <alignment horizontal="center" vertical="center" wrapText="1"/>
    </xf>
    <xf numFmtId="0" fontId="114" fillId="2" borderId="5" xfId="0" applyFont="1" applyFill="1" applyBorder="1" applyAlignment="1">
      <alignment horizontal="center" vertical="center"/>
    </xf>
    <xf numFmtId="0" fontId="27" fillId="0" borderId="5" xfId="0" applyFont="1" applyBorder="1" applyAlignment="1">
      <alignment vertical="center"/>
    </xf>
    <xf numFmtId="0" fontId="30" fillId="0" borderId="5" xfId="0" applyFont="1" applyBorder="1" applyAlignment="1">
      <alignment horizontal="center" vertical="center"/>
    </xf>
    <xf numFmtId="0" fontId="69" fillId="0" borderId="5" xfId="0" applyFont="1" applyBorder="1" applyAlignment="1">
      <alignment vertical="center"/>
    </xf>
    <xf numFmtId="0" fontId="112" fillId="0" borderId="5" xfId="0" applyFont="1" applyBorder="1" applyAlignment="1">
      <alignment vertical="center"/>
    </xf>
    <xf numFmtId="0" fontId="35" fillId="0" borderId="5" xfId="0" applyFont="1" applyBorder="1" applyAlignment="1">
      <alignment horizontal="center" vertical="center"/>
    </xf>
    <xf numFmtId="0" fontId="88" fillId="0" borderId="5" xfId="0" applyFont="1" applyBorder="1" applyAlignment="1">
      <alignment horizontal="center" vertical="center"/>
    </xf>
    <xf numFmtId="0" fontId="88" fillId="0" borderId="5" xfId="0" applyFont="1" applyBorder="1" applyAlignment="1">
      <alignment vertical="center"/>
    </xf>
    <xf numFmtId="0" fontId="78" fillId="0" borderId="0" xfId="0" applyFont="1" applyAlignment="1">
      <alignment vertical="center"/>
    </xf>
    <xf numFmtId="0" fontId="115" fillId="0" borderId="20" xfId="0" applyFont="1" applyBorder="1" applyAlignment="1">
      <alignment vertical="center"/>
    </xf>
    <xf numFmtId="0" fontId="115" fillId="0" borderId="0" xfId="0" applyFont="1" applyAlignment="1">
      <alignment vertical="center"/>
    </xf>
    <xf numFmtId="0" fontId="116" fillId="0" borderId="0" xfId="0" applyFont="1" applyAlignment="1">
      <alignment horizontal="right" vertical="center"/>
    </xf>
    <xf numFmtId="0" fontId="78" fillId="2" borderId="5" xfId="0" applyFont="1" applyFill="1" applyBorder="1" applyAlignment="1">
      <alignment vertical="center"/>
    </xf>
    <xf numFmtId="0" fontId="113" fillId="0" borderId="0" xfId="0" applyFont="1" applyAlignment="1">
      <alignment vertical="center"/>
    </xf>
    <xf numFmtId="0" fontId="78" fillId="2" borderId="17" xfId="0" applyFont="1" applyFill="1" applyBorder="1" applyAlignment="1">
      <alignment horizontal="center" vertical="center" wrapText="1"/>
    </xf>
    <xf numFmtId="0" fontId="78" fillId="0" borderId="0" xfId="0" applyFont="1" applyAlignment="1">
      <alignment horizontal="center" vertical="center" wrapText="1"/>
    </xf>
    <xf numFmtId="0" fontId="114" fillId="0" borderId="0" xfId="0" applyFont="1" applyAlignment="1">
      <alignment horizontal="center" vertical="center"/>
    </xf>
    <xf numFmtId="0" fontId="27" fillId="0" borderId="0" xfId="0" applyFont="1" applyAlignment="1">
      <alignment horizontal="center" vertical="center"/>
    </xf>
    <xf numFmtId="0" fontId="112" fillId="0" borderId="0" xfId="0" applyFont="1" applyAlignment="1">
      <alignment horizontal="center" vertical="center"/>
    </xf>
    <xf numFmtId="0" fontId="88" fillId="3" borderId="5" xfId="0" applyFont="1" applyFill="1" applyBorder="1" applyAlignment="1">
      <alignment horizontal="center" vertical="center"/>
    </xf>
    <xf numFmtId="0" fontId="78" fillId="2" borderId="5" xfId="0" applyFont="1" applyFill="1" applyBorder="1" applyAlignment="1">
      <alignment horizontal="center"/>
    </xf>
    <xf numFmtId="0" fontId="78" fillId="0" borderId="0" xfId="0" applyFont="1" applyAlignment="1">
      <alignment vertical="center" wrapText="1"/>
    </xf>
    <xf numFmtId="0" fontId="114" fillId="0" borderId="0" xfId="0" applyFont="1" applyAlignment="1">
      <alignment vertical="center"/>
    </xf>
    <xf numFmtId="0" fontId="30" fillId="4" borderId="0" xfId="0" applyFont="1" applyFill="1" applyAlignment="1">
      <alignment vertical="top" wrapText="1"/>
    </xf>
    <xf numFmtId="0" fontId="30" fillId="2" borderId="5" xfId="0" applyFont="1" applyFill="1" applyBorder="1" applyAlignment="1">
      <alignment horizontal="center" vertical="center"/>
    </xf>
    <xf numFmtId="0" fontId="82" fillId="0" borderId="0" xfId="0" applyFont="1" applyAlignment="1">
      <alignment vertical="center"/>
    </xf>
    <xf numFmtId="0" fontId="117" fillId="0" borderId="0" xfId="0" applyFont="1" applyAlignment="1">
      <alignment horizontal="right" vertical="center"/>
    </xf>
    <xf numFmtId="0" fontId="82" fillId="2" borderId="5" xfId="0" applyFont="1" applyFill="1" applyBorder="1" applyAlignment="1">
      <alignment horizontal="center" vertical="center"/>
    </xf>
    <xf numFmtId="0" fontId="0" fillId="0" borderId="5" xfId="0" applyBorder="1" applyAlignment="1">
      <alignment horizontal="center" vertical="center"/>
    </xf>
    <xf numFmtId="0" fontId="118" fillId="0" borderId="5" xfId="0" applyFont="1" applyBorder="1" applyAlignment="1">
      <alignment vertical="center"/>
    </xf>
    <xf numFmtId="1" fontId="63" fillId="0" borderId="5" xfId="0" applyNumberFormat="1" applyFont="1" applyBorder="1" applyAlignment="1">
      <alignment horizontal="center" vertical="center" wrapText="1"/>
    </xf>
    <xf numFmtId="0" fontId="63" fillId="0" borderId="5" xfId="0" applyFont="1" applyBorder="1" applyAlignment="1">
      <alignment horizontal="center" vertical="center"/>
    </xf>
    <xf numFmtId="168" fontId="63" fillId="0" borderId="5" xfId="0" applyNumberFormat="1" applyFont="1" applyBorder="1" applyAlignment="1">
      <alignment vertical="center"/>
    </xf>
    <xf numFmtId="0" fontId="34" fillId="2" borderId="5" xfId="0" applyFont="1" applyFill="1" applyBorder="1" applyAlignment="1">
      <alignment vertical="center"/>
    </xf>
    <xf numFmtId="1" fontId="15" fillId="2" borderId="5" xfId="0" applyNumberFormat="1" applyFont="1" applyFill="1" applyBorder="1" applyAlignment="1">
      <alignment vertical="center"/>
    </xf>
    <xf numFmtId="1" fontId="15" fillId="0" borderId="5" xfId="0" applyNumberFormat="1" applyFont="1" applyBorder="1" applyAlignment="1">
      <alignment horizontal="left" vertical="center" wrapText="1"/>
    </xf>
    <xf numFmtId="0" fontId="94" fillId="5" borderId="0" xfId="0" applyFont="1" applyFill="1" applyAlignment="1">
      <alignment vertical="center"/>
    </xf>
    <xf numFmtId="1" fontId="91" fillId="5" borderId="1" xfId="0" applyNumberFormat="1" applyFont="1" applyFill="1" applyBorder="1" applyAlignment="1">
      <alignment vertical="center"/>
    </xf>
    <xf numFmtId="0" fontId="15" fillId="5" borderId="3" xfId="0" applyFont="1" applyFill="1" applyBorder="1" applyAlignment="1">
      <alignment vertical="center"/>
    </xf>
    <xf numFmtId="0" fontId="15" fillId="5" borderId="0" xfId="0" applyFont="1" applyFill="1" applyAlignment="1">
      <alignment vertical="center"/>
    </xf>
    <xf numFmtId="0" fontId="35" fillId="0" borderId="0" xfId="0" applyFont="1" applyAlignment="1">
      <alignment horizontal="right" vertical="center"/>
    </xf>
    <xf numFmtId="1" fontId="15" fillId="5" borderId="4" xfId="0" applyNumberFormat="1" applyFont="1" applyFill="1" applyBorder="1" applyAlignment="1">
      <alignment vertical="center"/>
    </xf>
    <xf numFmtId="1" fontId="15" fillId="5" borderId="6" xfId="0" applyNumberFormat="1" applyFont="1" applyFill="1" applyBorder="1" applyAlignment="1">
      <alignment vertical="center"/>
    </xf>
    <xf numFmtId="1" fontId="0" fillId="0" borderId="0" xfId="0" applyNumberFormat="1" applyAlignment="1">
      <alignment horizontal="center" vertical="center"/>
    </xf>
    <xf numFmtId="1" fontId="15" fillId="5" borderId="7" xfId="0" applyNumberFormat="1" applyFont="1" applyFill="1" applyBorder="1" applyAlignment="1">
      <alignment vertical="center"/>
    </xf>
    <xf numFmtId="0" fontId="119" fillId="0" borderId="0" xfId="0" applyFont="1" applyAlignment="1">
      <alignment vertical="center"/>
    </xf>
    <xf numFmtId="1" fontId="15" fillId="5" borderId="0" xfId="0" applyNumberFormat="1" applyFont="1" applyFill="1" applyAlignment="1">
      <alignment vertical="center"/>
    </xf>
    <xf numFmtId="1" fontId="63" fillId="5" borderId="5" xfId="1" applyNumberFormat="1" applyFont="1" applyFill="1" applyBorder="1" applyAlignment="1">
      <alignment vertical="center" wrapText="1"/>
    </xf>
    <xf numFmtId="1" fontId="63" fillId="5" borderId="0" xfId="1" applyNumberFormat="1" applyFont="1" applyFill="1" applyBorder="1" applyAlignment="1">
      <alignment vertical="center" wrapText="1"/>
    </xf>
    <xf numFmtId="0" fontId="106" fillId="0" borderId="0" xfId="0" applyFont="1"/>
    <xf numFmtId="0" fontId="69" fillId="0" borderId="0" xfId="0" applyFont="1" applyAlignment="1">
      <alignment horizontal="center" vertical="center"/>
    </xf>
    <xf numFmtId="0" fontId="120" fillId="0" borderId="0" xfId="0" applyFont="1"/>
    <xf numFmtId="0" fontId="35" fillId="0" borderId="0" xfId="0" applyFont="1" applyAlignment="1">
      <alignment horizontal="center" vertical="center"/>
    </xf>
    <xf numFmtId="0" fontId="35" fillId="0" borderId="0" xfId="0" applyFont="1" applyAlignment="1">
      <alignment vertical="center"/>
    </xf>
    <xf numFmtId="0" fontId="117" fillId="0" borderId="0" xfId="0" applyFont="1" applyAlignment="1">
      <alignment horizontal="center" vertical="center"/>
    </xf>
    <xf numFmtId="0" fontId="69" fillId="2" borderId="1" xfId="0" applyFont="1" applyFill="1" applyBorder="1" applyAlignment="1">
      <alignment vertical="center" wrapText="1"/>
    </xf>
    <xf numFmtId="0" fontId="69" fillId="2" borderId="2" xfId="0" applyFont="1" applyFill="1" applyBorder="1" applyAlignment="1">
      <alignment horizontal="center" vertical="center"/>
    </xf>
    <xf numFmtId="0" fontId="69" fillId="2" borderId="3" xfId="0" applyFont="1" applyFill="1" applyBorder="1" applyAlignment="1">
      <alignment horizontal="center" vertical="center"/>
    </xf>
    <xf numFmtId="0" fontId="35" fillId="2" borderId="0" xfId="0" applyFont="1" applyFill="1" applyAlignment="1">
      <alignment vertical="center"/>
    </xf>
    <xf numFmtId="0" fontId="121" fillId="2" borderId="0" xfId="0" applyFont="1" applyFill="1"/>
    <xf numFmtId="0" fontId="106" fillId="2" borderId="0" xfId="0" applyFont="1" applyFill="1"/>
    <xf numFmtId="49" fontId="69" fillId="0" borderId="4" xfId="0" applyNumberFormat="1" applyFont="1" applyBorder="1" applyAlignment="1">
      <alignment vertical="center"/>
    </xf>
    <xf numFmtId="2" fontId="35" fillId="0" borderId="0" xfId="0" applyNumberFormat="1" applyFont="1" applyAlignment="1">
      <alignment vertical="center"/>
    </xf>
    <xf numFmtId="0" fontId="35" fillId="0" borderId="6" xfId="0" applyFont="1" applyBorder="1" applyAlignment="1">
      <alignment vertical="center"/>
    </xf>
    <xf numFmtId="49" fontId="35" fillId="0" borderId="4" xfId="0" applyNumberFormat="1" applyFont="1" applyBorder="1" applyAlignment="1">
      <alignment vertical="center"/>
    </xf>
    <xf numFmtId="1" fontId="35" fillId="0" borderId="5" xfId="0" applyNumberFormat="1" applyFont="1" applyBorder="1" applyAlignment="1">
      <alignment vertical="center"/>
    </xf>
    <xf numFmtId="1" fontId="35" fillId="0" borderId="6" xfId="0" applyNumberFormat="1" applyFont="1" applyBorder="1" applyAlignment="1">
      <alignment vertical="center"/>
    </xf>
    <xf numFmtId="1" fontId="122" fillId="0" borderId="0" xfId="0" applyNumberFormat="1" applyFont="1"/>
    <xf numFmtId="1" fontId="93" fillId="0" borderId="0" xfId="0" applyNumberFormat="1" applyFont="1"/>
    <xf numFmtId="1" fontId="121" fillId="0" borderId="0" xfId="0" applyNumberFormat="1" applyFont="1"/>
    <xf numFmtId="1" fontId="106" fillId="0" borderId="0" xfId="0" applyNumberFormat="1" applyFont="1"/>
    <xf numFmtId="1" fontId="35" fillId="0" borderId="19" xfId="0" applyNumberFormat="1" applyFont="1" applyBorder="1" applyAlignment="1">
      <alignment vertical="center"/>
    </xf>
    <xf numFmtId="1" fontId="120" fillId="0" borderId="0" xfId="0" applyNumberFormat="1" applyFont="1"/>
    <xf numFmtId="49" fontId="69" fillId="0" borderId="4" xfId="0" applyNumberFormat="1" applyFont="1" applyBorder="1"/>
    <xf numFmtId="1" fontId="35" fillId="0" borderId="11" xfId="0" applyNumberFormat="1" applyFont="1" applyBorder="1" applyAlignment="1">
      <alignment vertical="center"/>
    </xf>
    <xf numFmtId="1" fontId="35" fillId="0" borderId="49" xfId="0" applyNumberFormat="1" applyFont="1" applyBorder="1" applyAlignment="1">
      <alignment vertical="center"/>
    </xf>
    <xf numFmtId="0" fontId="35" fillId="0" borderId="6" xfId="0" applyFont="1" applyBorder="1" applyAlignment="1">
      <alignment horizontal="right" vertical="center"/>
    </xf>
    <xf numFmtId="1" fontId="69" fillId="0" borderId="5" xfId="0" applyNumberFormat="1" applyFont="1" applyBorder="1"/>
    <xf numFmtId="1" fontId="69" fillId="0" borderId="6" xfId="0" applyNumberFormat="1" applyFont="1" applyBorder="1"/>
    <xf numFmtId="0" fontId="35" fillId="0" borderId="5" xfId="0" applyFont="1" applyBorder="1"/>
    <xf numFmtId="0" fontId="35" fillId="0" borderId="6" xfId="0" applyFont="1" applyBorder="1"/>
    <xf numFmtId="49" fontId="35" fillId="0" borderId="7" xfId="0" applyNumberFormat="1" applyFont="1" applyBorder="1" applyAlignment="1">
      <alignment horizontal="center" vertical="center"/>
    </xf>
    <xf numFmtId="1" fontId="69" fillId="0" borderId="8" xfId="0" applyNumberFormat="1" applyFont="1" applyBorder="1"/>
    <xf numFmtId="1" fontId="0" fillId="0" borderId="0" xfId="0" applyNumberFormat="1" applyAlignment="1">
      <alignment vertical="top"/>
    </xf>
    <xf numFmtId="1" fontId="63" fillId="0" borderId="0" xfId="0" applyNumberFormat="1" applyFont="1"/>
    <xf numFmtId="1" fontId="34" fillId="0" borderId="0" xfId="0" applyNumberFormat="1" applyFont="1" applyAlignment="1">
      <alignment vertical="center"/>
    </xf>
    <xf numFmtId="1" fontId="79" fillId="2" borderId="32" xfId="0" applyNumberFormat="1" applyFont="1" applyFill="1" applyBorder="1" applyAlignment="1">
      <alignment vertical="center" wrapText="1"/>
    </xf>
    <xf numFmtId="1" fontId="79" fillId="2" borderId="27" xfId="0" applyNumberFormat="1" applyFont="1" applyFill="1" applyBorder="1" applyAlignment="1">
      <alignment horizontal="center" vertical="center" wrapText="1"/>
    </xf>
    <xf numFmtId="1" fontId="79" fillId="2" borderId="39" xfId="0" applyNumberFormat="1" applyFont="1" applyFill="1" applyBorder="1" applyAlignment="1">
      <alignment horizontal="center" vertical="center" wrapText="1"/>
    </xf>
    <xf numFmtId="1" fontId="82" fillId="0" borderId="1" xfId="0" applyNumberFormat="1" applyFont="1" applyBorder="1" applyAlignment="1">
      <alignment vertical="center"/>
    </xf>
    <xf numFmtId="1" fontId="28" fillId="0" borderId="2" xfId="0" applyNumberFormat="1" applyFont="1" applyBorder="1" applyAlignment="1">
      <alignment vertical="center"/>
    </xf>
    <xf numFmtId="1" fontId="28" fillId="0" borderId="3" xfId="0" applyNumberFormat="1" applyFont="1" applyBorder="1" applyAlignment="1">
      <alignment vertical="center"/>
    </xf>
    <xf numFmtId="1" fontId="35" fillId="0" borderId="4" xfId="0" applyNumberFormat="1" applyFont="1" applyBorder="1" applyAlignment="1">
      <alignment vertical="center"/>
    </xf>
    <xf numFmtId="1" fontId="28" fillId="0" borderId="6" xfId="0" applyNumberFormat="1" applyFont="1" applyBorder="1" applyAlignment="1">
      <alignment vertical="center"/>
    </xf>
    <xf numFmtId="1" fontId="35" fillId="0" borderId="4" xfId="0" applyNumberFormat="1" applyFont="1" applyBorder="1" applyAlignment="1">
      <alignment vertical="top" wrapText="1"/>
    </xf>
    <xf numFmtId="1" fontId="28" fillId="0" borderId="5" xfId="0" applyNumberFormat="1" applyFont="1" applyBorder="1" applyAlignment="1">
      <alignment vertical="top"/>
    </xf>
    <xf numFmtId="1" fontId="28" fillId="0" borderId="6" xfId="0" applyNumberFormat="1" applyFont="1" applyBorder="1" applyAlignment="1">
      <alignment vertical="top"/>
    </xf>
    <xf numFmtId="1" fontId="28" fillId="0" borderId="0" xfId="0" applyNumberFormat="1" applyFont="1" applyAlignment="1">
      <alignment vertical="top"/>
    </xf>
    <xf numFmtId="1" fontId="82" fillId="0" borderId="4" xfId="0" applyNumberFormat="1" applyFont="1" applyBorder="1" applyAlignment="1">
      <alignment vertical="center"/>
    </xf>
    <xf numFmtId="1" fontId="34" fillId="0" borderId="7" xfId="0" applyNumberFormat="1" applyFont="1" applyBorder="1" applyAlignment="1">
      <alignment horizontal="center" vertical="center" wrapText="1"/>
    </xf>
    <xf numFmtId="1" fontId="34" fillId="0" borderId="8" xfId="0" applyNumberFormat="1" applyFont="1" applyBorder="1" applyAlignment="1">
      <alignment vertical="center" wrapText="1"/>
    </xf>
    <xf numFmtId="0" fontId="46" fillId="0" borderId="0" xfId="7" applyFont="1" applyAlignment="1">
      <alignment horizontal="center" vertical="center"/>
    </xf>
    <xf numFmtId="0" fontId="45" fillId="0" borderId="0" xfId="7" applyFont="1" applyAlignment="1">
      <alignment vertical="center"/>
    </xf>
    <xf numFmtId="0" fontId="46" fillId="0" borderId="0" xfId="7" applyFont="1" applyAlignment="1">
      <alignment horizontal="right" vertical="center"/>
    </xf>
    <xf numFmtId="0" fontId="8" fillId="0" borderId="5" xfId="0" applyFont="1" applyBorder="1" applyAlignment="1">
      <alignment horizontal="right" vertical="center"/>
    </xf>
    <xf numFmtId="0" fontId="45" fillId="0" borderId="5" xfId="7" applyFont="1" applyBorder="1" applyAlignment="1">
      <alignment vertical="center"/>
    </xf>
    <xf numFmtId="0" fontId="46" fillId="0" borderId="5" xfId="7" applyFont="1" applyBorder="1" applyAlignment="1">
      <alignment vertical="center"/>
    </xf>
    <xf numFmtId="0" fontId="15" fillId="0" borderId="5" xfId="0" applyFont="1" applyBorder="1" applyAlignment="1">
      <alignment horizontal="center" vertical="center" wrapText="1"/>
    </xf>
    <xf numFmtId="0" fontId="63" fillId="0" borderId="5" xfId="0" applyFont="1" applyBorder="1" applyAlignment="1">
      <alignment wrapText="1"/>
    </xf>
    <xf numFmtId="0" fontId="114" fillId="0" borderId="0" xfId="0" applyFont="1" applyAlignment="1">
      <alignment horizontal="right" vertical="center"/>
    </xf>
    <xf numFmtId="0" fontId="124" fillId="0" borderId="0" xfId="0" applyFont="1" applyAlignment="1">
      <alignment horizontal="center" vertical="center"/>
    </xf>
    <xf numFmtId="0" fontId="125" fillId="0" borderId="0" xfId="0" applyFont="1" applyAlignment="1">
      <alignment vertical="center"/>
    </xf>
    <xf numFmtId="0" fontId="126" fillId="0" borderId="0" xfId="0" applyFont="1" applyAlignment="1">
      <alignment vertical="center"/>
    </xf>
    <xf numFmtId="0" fontId="125" fillId="0" borderId="0" xfId="0" applyFont="1" applyAlignment="1">
      <alignment horizontal="center" vertical="center"/>
    </xf>
    <xf numFmtId="0" fontId="116" fillId="0" borderId="0" xfId="0" applyFont="1" applyAlignment="1">
      <alignment vertical="center"/>
    </xf>
    <xf numFmtId="0" fontId="99" fillId="3" borderId="32" xfId="0" applyFont="1" applyFill="1" applyBorder="1" applyAlignment="1">
      <alignment horizontal="center" vertical="center" wrapText="1"/>
    </xf>
    <xf numFmtId="0" fontId="82" fillId="0" borderId="4" xfId="0" applyFont="1" applyBorder="1" applyAlignment="1">
      <alignment horizontal="center" vertical="center"/>
    </xf>
    <xf numFmtId="0" fontId="99" fillId="0" borderId="5" xfId="0" applyFont="1" applyBorder="1" applyAlignment="1">
      <alignment horizontal="center" vertical="center" wrapText="1"/>
    </xf>
    <xf numFmtId="0" fontId="99" fillId="0" borderId="4" xfId="0" applyFont="1" applyBorder="1" applyAlignment="1">
      <alignment horizontal="center" vertical="center"/>
    </xf>
    <xf numFmtId="0" fontId="128" fillId="0" borderId="5" xfId="0" applyFont="1" applyBorder="1" applyAlignment="1">
      <alignment horizontal="center" vertical="center" wrapText="1"/>
    </xf>
    <xf numFmtId="0" fontId="129" fillId="0" borderId="4" xfId="0" applyFont="1" applyBorder="1" applyAlignment="1">
      <alignment horizontal="center" vertical="center"/>
    </xf>
    <xf numFmtId="0" fontId="129" fillId="0" borderId="10" xfId="0" applyFont="1" applyBorder="1" applyAlignment="1">
      <alignment horizontal="left" vertical="center"/>
    </xf>
    <xf numFmtId="0" fontId="129" fillId="0" borderId="11" xfId="0" applyFont="1" applyBorder="1" applyAlignment="1">
      <alignment horizontal="left" vertical="center"/>
    </xf>
    <xf numFmtId="0" fontId="129" fillId="0" borderId="19" xfId="0" applyFont="1" applyBorder="1" applyAlignment="1">
      <alignment horizontal="left" vertical="center"/>
    </xf>
    <xf numFmtId="0" fontId="114" fillId="0" borderId="19" xfId="0" applyFont="1" applyBorder="1" applyAlignment="1">
      <alignment vertical="center"/>
    </xf>
    <xf numFmtId="0" fontId="114" fillId="0" borderId="5" xfId="0" applyFont="1" applyBorder="1" applyAlignment="1">
      <alignment vertical="center"/>
    </xf>
    <xf numFmtId="0" fontId="129" fillId="0" borderId="5" xfId="0" applyFont="1" applyBorder="1" applyAlignment="1">
      <alignment vertical="center"/>
    </xf>
    <xf numFmtId="0" fontId="83" fillId="0" borderId="0" xfId="0" applyFont="1" applyAlignment="1">
      <alignment vertical="center"/>
    </xf>
    <xf numFmtId="0" fontId="82" fillId="0" borderId="0" xfId="0" applyFont="1" applyAlignment="1">
      <alignment horizontal="left" vertical="center"/>
    </xf>
    <xf numFmtId="0" fontId="30" fillId="0" borderId="0" xfId="0" applyFont="1" applyAlignment="1">
      <alignment horizontal="center" vertical="center"/>
    </xf>
    <xf numFmtId="0" fontId="99" fillId="0" borderId="0" xfId="0" applyFont="1" applyAlignment="1">
      <alignment horizontal="right" vertical="center"/>
    </xf>
    <xf numFmtId="0" fontId="99" fillId="0" borderId="0" xfId="0" applyFont="1" applyAlignment="1">
      <alignment vertical="center"/>
    </xf>
    <xf numFmtId="0" fontId="89" fillId="0" borderId="0" xfId="0" applyFont="1" applyAlignment="1">
      <alignment vertical="top"/>
    </xf>
    <xf numFmtId="0" fontId="27" fillId="0" borderId="0" xfId="0" applyFont="1" applyAlignment="1">
      <alignment vertical="top" wrapText="1"/>
    </xf>
    <xf numFmtId="0" fontId="82" fillId="0" borderId="0" xfId="0" applyFont="1" applyAlignment="1">
      <alignment horizontal="right" vertical="center"/>
    </xf>
    <xf numFmtId="1" fontId="130" fillId="0" borderId="5" xfId="0" applyNumberFormat="1" applyFont="1" applyBorder="1" applyAlignment="1">
      <alignment vertical="center"/>
    </xf>
    <xf numFmtId="1" fontId="69" fillId="0" borderId="42" xfId="0" applyNumberFormat="1" applyFont="1" applyBorder="1" applyAlignment="1">
      <alignment vertical="center" wrapText="1"/>
    </xf>
    <xf numFmtId="1" fontId="131" fillId="0" borderId="4" xfId="0" applyNumberFormat="1" applyFont="1" applyBorder="1" applyAlignment="1">
      <alignment vertical="center"/>
    </xf>
    <xf numFmtId="1" fontId="63" fillId="4" borderId="5" xfId="0" applyNumberFormat="1" applyFont="1" applyFill="1" applyBorder="1" applyAlignment="1">
      <alignment vertical="center"/>
    </xf>
    <xf numFmtId="1" fontId="69" fillId="0" borderId="4" xfId="0" applyNumberFormat="1" applyFont="1" applyBorder="1" applyAlignment="1">
      <alignment vertical="center" wrapText="1"/>
    </xf>
    <xf numFmtId="1" fontId="34" fillId="0" borderId="4" xfId="0" applyNumberFormat="1" applyFont="1" applyBorder="1" applyAlignment="1">
      <alignment vertical="center"/>
    </xf>
    <xf numFmtId="1" fontId="132" fillId="0" borderId="0" xfId="0" applyNumberFormat="1" applyFont="1" applyAlignment="1">
      <alignment vertical="center" wrapText="1"/>
    </xf>
    <xf numFmtId="1" fontId="63" fillId="2" borderId="0" xfId="0" applyNumberFormat="1" applyFont="1" applyFill="1"/>
    <xf numFmtId="1" fontId="35" fillId="0" borderId="4" xfId="0" applyNumberFormat="1" applyFont="1" applyBorder="1" applyAlignment="1">
      <alignment vertical="center" wrapText="1"/>
    </xf>
    <xf numFmtId="1" fontId="15" fillId="7" borderId="0" xfId="0" applyNumberFormat="1" applyFont="1" applyFill="1"/>
    <xf numFmtId="0" fontId="28" fillId="2" borderId="2" xfId="0" applyFont="1" applyFill="1" applyBorder="1" applyAlignment="1">
      <alignment vertical="center"/>
    </xf>
    <xf numFmtId="0" fontId="28" fillId="2" borderId="3" xfId="0" applyFont="1" applyFill="1" applyBorder="1" applyAlignment="1">
      <alignment vertical="center"/>
    </xf>
    <xf numFmtId="0" fontId="28" fillId="2" borderId="0" xfId="0" applyFont="1" applyFill="1" applyAlignment="1">
      <alignment vertical="center"/>
    </xf>
    <xf numFmtId="0" fontId="34" fillId="0" borderId="4" xfId="0" applyFont="1" applyBorder="1" applyAlignment="1">
      <alignment vertical="center"/>
    </xf>
    <xf numFmtId="0" fontId="28" fillId="0" borderId="6" xfId="0" applyFont="1" applyBorder="1" applyAlignment="1">
      <alignment vertical="center"/>
    </xf>
    <xf numFmtId="0" fontId="82" fillId="0" borderId="5" xfId="0" applyFont="1" applyBorder="1" applyAlignment="1">
      <alignment horizontal="center" vertical="center"/>
    </xf>
    <xf numFmtId="0" fontId="82" fillId="0" borderId="6" xfId="0" applyFont="1" applyBorder="1" applyAlignment="1">
      <alignment horizontal="center" vertical="center"/>
    </xf>
    <xf numFmtId="1" fontId="34" fillId="0" borderId="8" xfId="0" applyNumberFormat="1" applyFont="1" applyBorder="1" applyAlignment="1">
      <alignment vertical="center"/>
    </xf>
    <xf numFmtId="1" fontId="34" fillId="0" borderId="9" xfId="0" applyNumberFormat="1" applyFont="1" applyBorder="1" applyAlignment="1">
      <alignment vertical="center"/>
    </xf>
    <xf numFmtId="0" fontId="30" fillId="0" borderId="0" xfId="0" applyFont="1" applyAlignment="1">
      <alignment horizontal="center"/>
    </xf>
    <xf numFmtId="0" fontId="78" fillId="3" borderId="1" xfId="0" applyFont="1" applyFill="1" applyBorder="1"/>
    <xf numFmtId="0" fontId="27" fillId="3" borderId="4" xfId="0" applyFont="1" applyFill="1" applyBorder="1"/>
    <xf numFmtId="0" fontId="15" fillId="3" borderId="5" xfId="0" applyFont="1" applyFill="1" applyBorder="1" applyAlignment="1">
      <alignment horizontal="center"/>
    </xf>
    <xf numFmtId="0" fontId="15" fillId="0" borderId="4" xfId="0" applyFont="1" applyBorder="1"/>
    <xf numFmtId="1" fontId="133" fillId="0" borderId="5" xfId="0" applyNumberFormat="1" applyFont="1" applyBorder="1"/>
    <xf numFmtId="0" fontId="15" fillId="0" borderId="7" xfId="0" applyFont="1" applyBorder="1"/>
    <xf numFmtId="2" fontId="63" fillId="0" borderId="0" xfId="0" applyNumberFormat="1" applyFont="1"/>
    <xf numFmtId="2" fontId="27" fillId="0" borderId="0" xfId="0" applyNumberFormat="1" applyFont="1"/>
    <xf numFmtId="2" fontId="30" fillId="0" borderId="0" xfId="0" applyNumberFormat="1" applyFont="1"/>
    <xf numFmtId="0" fontId="59" fillId="0" borderId="36" xfId="0" applyFont="1" applyBorder="1"/>
    <xf numFmtId="0" fontId="78" fillId="3" borderId="37" xfId="0" applyFont="1" applyFill="1" applyBorder="1"/>
    <xf numFmtId="0" fontId="78" fillId="3" borderId="52" xfId="0" applyFont="1" applyFill="1" applyBorder="1"/>
    <xf numFmtId="0" fontId="15" fillId="3" borderId="6" xfId="0" applyFont="1" applyFill="1" applyBorder="1" applyAlignment="1">
      <alignment horizontal="center"/>
    </xf>
    <xf numFmtId="1" fontId="63" fillId="0" borderId="6" xfId="0" applyNumberFormat="1" applyFont="1" applyBorder="1"/>
    <xf numFmtId="2" fontId="63" fillId="0" borderId="6" xfId="0" applyNumberFormat="1" applyFont="1" applyBorder="1"/>
    <xf numFmtId="1" fontId="27" fillId="0" borderId="0" xfId="0" applyNumberFormat="1" applyFont="1"/>
    <xf numFmtId="2" fontId="63" fillId="0" borderId="53" xfId="0" applyNumberFormat="1" applyFont="1" applyBorder="1"/>
    <xf numFmtId="0" fontId="103" fillId="2" borderId="0" xfId="0" applyFont="1" applyFill="1" applyAlignment="1">
      <alignment horizontal="center"/>
    </xf>
    <xf numFmtId="0" fontId="15" fillId="2" borderId="4" xfId="0" applyFont="1" applyFill="1" applyBorder="1" applyAlignment="1">
      <alignment vertical="center"/>
    </xf>
    <xf numFmtId="0" fontId="15" fillId="2" borderId="5" xfId="0" applyFont="1" applyFill="1" applyBorder="1" applyAlignment="1">
      <alignment horizontal="center" vertical="center"/>
    </xf>
    <xf numFmtId="0" fontId="15" fillId="2" borderId="25" xfId="0" applyFont="1" applyFill="1" applyBorder="1" applyAlignment="1">
      <alignment horizontal="center" vertical="center"/>
    </xf>
    <xf numFmtId="0" fontId="69" fillId="0" borderId="4" xfId="0" applyFont="1" applyBorder="1" applyAlignment="1">
      <alignment vertical="center" wrapText="1"/>
    </xf>
    <xf numFmtId="0" fontId="72" fillId="0" borderId="36" xfId="0" applyFont="1" applyBorder="1" applyAlignment="1">
      <alignment vertical="center"/>
    </xf>
    <xf numFmtId="0" fontId="34" fillId="2" borderId="37" xfId="0" applyFont="1" applyFill="1" applyBorder="1" applyAlignment="1">
      <alignment vertical="center"/>
    </xf>
    <xf numFmtId="0" fontId="34" fillId="2" borderId="52" xfId="0" applyFont="1" applyFill="1" applyBorder="1" applyAlignment="1">
      <alignment vertical="center"/>
    </xf>
    <xf numFmtId="0" fontId="63" fillId="2" borderId="12" xfId="0" applyFont="1" applyFill="1" applyBorder="1"/>
    <xf numFmtId="0" fontId="15" fillId="2" borderId="6" xfId="0" applyFont="1" applyFill="1" applyBorder="1" applyAlignment="1">
      <alignment horizontal="center" vertical="center"/>
    </xf>
    <xf numFmtId="0" fontId="63" fillId="0" borderId="12" xfId="0" applyFont="1" applyBorder="1"/>
    <xf numFmtId="10" fontId="63" fillId="0" borderId="12" xfId="9" applyNumberFormat="1" applyFont="1" applyBorder="1"/>
    <xf numFmtId="169" fontId="63" fillId="0" borderId="0" xfId="0" applyNumberFormat="1" applyFont="1"/>
    <xf numFmtId="0" fontId="15" fillId="0" borderId="12" xfId="0" applyFont="1" applyBorder="1"/>
    <xf numFmtId="1" fontId="63" fillId="0" borderId="54" xfId="0" applyNumberFormat="1" applyFont="1" applyBorder="1"/>
    <xf numFmtId="170" fontId="63" fillId="0" borderId="0" xfId="0" applyNumberFormat="1" applyFont="1" applyAlignment="1">
      <alignment vertical="center"/>
    </xf>
    <xf numFmtId="0" fontId="69" fillId="0" borderId="0" xfId="0" applyFont="1"/>
    <xf numFmtId="0" fontId="69" fillId="2" borderId="0" xfId="0" applyFont="1" applyFill="1"/>
    <xf numFmtId="0" fontId="69" fillId="2" borderId="0" xfId="0" applyFont="1" applyFill="1" applyAlignment="1">
      <alignment horizontal="center"/>
    </xf>
    <xf numFmtId="0" fontId="69" fillId="2" borderId="5" xfId="0" applyFont="1" applyFill="1" applyBorder="1" applyAlignment="1">
      <alignment vertical="center" wrapText="1"/>
    </xf>
    <xf numFmtId="0" fontId="69" fillId="2" borderId="5" xfId="0" applyFont="1" applyFill="1" applyBorder="1" applyAlignment="1">
      <alignment horizontal="center" vertical="center"/>
    </xf>
    <xf numFmtId="0" fontId="69" fillId="2" borderId="5" xfId="0" applyFont="1" applyFill="1" applyBorder="1" applyAlignment="1">
      <alignment vertical="center"/>
    </xf>
    <xf numFmtId="1" fontId="134" fillId="0" borderId="5" xfId="0" applyNumberFormat="1" applyFont="1" applyBorder="1" applyAlignment="1">
      <alignment vertical="center"/>
    </xf>
    <xf numFmtId="0" fontId="69" fillId="0" borderId="5" xfId="0" applyFont="1" applyBorder="1" applyAlignment="1">
      <alignment vertical="center" wrapText="1"/>
    </xf>
    <xf numFmtId="1" fontId="35" fillId="0" borderId="0" xfId="0" applyNumberFormat="1" applyFont="1" applyAlignment="1">
      <alignment vertical="center"/>
    </xf>
    <xf numFmtId="2" fontId="35" fillId="0" borderId="0" xfId="0" applyNumberFormat="1" applyFont="1"/>
    <xf numFmtId="0" fontId="117" fillId="0" borderId="36" xfId="0" applyFont="1" applyBorder="1" applyAlignment="1">
      <alignment vertical="center"/>
    </xf>
    <xf numFmtId="0" fontId="69" fillId="2" borderId="52" xfId="0" applyFont="1" applyFill="1" applyBorder="1" applyAlignment="1">
      <alignment vertical="center"/>
    </xf>
    <xf numFmtId="0" fontId="69" fillId="2" borderId="12" xfId="0" applyFont="1" applyFill="1" applyBorder="1"/>
    <xf numFmtId="0" fontId="69" fillId="2" borderId="12" xfId="0" applyFont="1" applyFill="1" applyBorder="1" applyAlignment="1">
      <alignment horizontal="center" vertical="center"/>
    </xf>
    <xf numFmtId="1" fontId="35" fillId="0" borderId="12" xfId="0" applyNumberFormat="1" applyFont="1" applyBorder="1" applyAlignment="1">
      <alignment vertical="center"/>
    </xf>
    <xf numFmtId="0" fontId="35" fillId="0" borderId="12" xfId="0" applyFont="1" applyBorder="1"/>
    <xf numFmtId="10" fontId="35" fillId="0" borderId="12" xfId="9" applyNumberFormat="1" applyFont="1" applyBorder="1"/>
    <xf numFmtId="169" fontId="35" fillId="0" borderId="0" xfId="0" applyNumberFormat="1" applyFont="1"/>
    <xf numFmtId="0" fontId="69" fillId="0" borderId="12" xfId="0" applyFont="1" applyBorder="1"/>
    <xf numFmtId="1" fontId="69" fillId="0" borderId="0" xfId="0" applyNumberFormat="1" applyFont="1"/>
    <xf numFmtId="1" fontId="35" fillId="0" borderId="15" xfId="0" applyNumberFormat="1" applyFont="1" applyBorder="1"/>
    <xf numFmtId="1" fontId="35" fillId="0" borderId="0" xfId="0" applyNumberFormat="1" applyFont="1"/>
    <xf numFmtId="0" fontId="82" fillId="2" borderId="5" xfId="0" applyFont="1" applyFill="1" applyBorder="1" applyAlignment="1">
      <alignment vertical="center" wrapText="1"/>
    </xf>
    <xf numFmtId="0" fontId="15" fillId="2" borderId="5" xfId="0" applyFont="1" applyFill="1" applyBorder="1" applyAlignment="1">
      <alignment vertical="center"/>
    </xf>
    <xf numFmtId="1" fontId="133" fillId="0" borderId="5" xfId="0" applyNumberFormat="1" applyFont="1" applyBorder="1" applyAlignment="1">
      <alignment vertical="center"/>
    </xf>
    <xf numFmtId="0" fontId="82" fillId="2" borderId="5" xfId="0" applyFont="1" applyFill="1" applyBorder="1" applyAlignment="1">
      <alignment vertical="center"/>
    </xf>
    <xf numFmtId="0" fontId="82" fillId="2" borderId="52" xfId="0" applyFont="1" applyFill="1" applyBorder="1" applyAlignment="1">
      <alignment vertical="center"/>
    </xf>
    <xf numFmtId="0" fontId="15" fillId="2" borderId="12" xfId="0" applyFont="1" applyFill="1" applyBorder="1" applyAlignment="1">
      <alignment horizontal="center" vertical="center"/>
    </xf>
    <xf numFmtId="1" fontId="63" fillId="0" borderId="12" xfId="0" applyNumberFormat="1" applyFont="1" applyBorder="1" applyAlignment="1">
      <alignment vertical="center"/>
    </xf>
    <xf numFmtId="1" fontId="15" fillId="0" borderId="12" xfId="0" applyNumberFormat="1" applyFont="1" applyBorder="1" applyAlignment="1">
      <alignment vertical="center"/>
    </xf>
    <xf numFmtId="1" fontId="15" fillId="0" borderId="54" xfId="0" applyNumberFormat="1" applyFont="1" applyBorder="1" applyAlignment="1">
      <alignment vertical="center"/>
    </xf>
    <xf numFmtId="1" fontId="63" fillId="8" borderId="5" xfId="0" applyNumberFormat="1" applyFont="1" applyFill="1" applyBorder="1" applyAlignment="1">
      <alignment vertical="center"/>
    </xf>
    <xf numFmtId="2" fontId="30" fillId="0" borderId="5" xfId="0" applyNumberFormat="1" applyFont="1" applyBorder="1"/>
    <xf numFmtId="2" fontId="63" fillId="0" borderId="5" xfId="0" applyNumberFormat="1" applyFont="1" applyBorder="1"/>
    <xf numFmtId="1" fontId="27" fillId="0" borderId="5" xfId="0" applyNumberFormat="1" applyFont="1" applyBorder="1"/>
    <xf numFmtId="0" fontId="27" fillId="0" borderId="5" xfId="0" applyFont="1" applyBorder="1"/>
    <xf numFmtId="0" fontId="72" fillId="0" borderId="0" xfId="0" applyFont="1" applyAlignment="1">
      <alignment vertical="center"/>
    </xf>
    <xf numFmtId="0" fontId="15" fillId="2" borderId="0" xfId="0" applyFont="1" applyFill="1" applyAlignment="1">
      <alignment horizontal="center"/>
    </xf>
    <xf numFmtId="0" fontId="88" fillId="2" borderId="5" xfId="0" applyFont="1" applyFill="1" applyBorder="1" applyAlignment="1">
      <alignment vertical="center" wrapText="1"/>
    </xf>
    <xf numFmtId="1" fontId="119" fillId="0" borderId="5" xfId="0" applyNumberFormat="1" applyFont="1" applyBorder="1" applyAlignment="1">
      <alignment vertical="center"/>
    </xf>
    <xf numFmtId="1" fontId="121" fillId="0" borderId="0" xfId="0" applyNumberFormat="1" applyFont="1" applyAlignment="1">
      <alignment vertical="center"/>
    </xf>
    <xf numFmtId="2" fontId="15" fillId="0" borderId="0" xfId="0" applyNumberFormat="1" applyFont="1"/>
    <xf numFmtId="0" fontId="63" fillId="0" borderId="0" xfId="0" applyFont="1" applyAlignment="1">
      <alignment horizontal="center"/>
    </xf>
    <xf numFmtId="0" fontId="15" fillId="2" borderId="12" xfId="0" applyFont="1" applyFill="1" applyBorder="1"/>
    <xf numFmtId="10" fontId="63" fillId="0" borderId="11" xfId="2" applyNumberFormat="1" applyFont="1" applyBorder="1"/>
    <xf numFmtId="10" fontId="63" fillId="0" borderId="5" xfId="2" applyNumberFormat="1" applyFont="1" applyBorder="1"/>
    <xf numFmtId="0" fontId="63" fillId="0" borderId="5" xfId="2" applyNumberFormat="1" applyFont="1" applyBorder="1"/>
    <xf numFmtId="2" fontId="63" fillId="0" borderId="5" xfId="2" applyNumberFormat="1" applyFont="1" applyBorder="1"/>
    <xf numFmtId="0" fontId="15" fillId="0" borderId="11" xfId="0" applyFont="1" applyBorder="1"/>
    <xf numFmtId="1" fontId="34" fillId="0" borderId="45" xfId="0" applyNumberFormat="1" applyFont="1" applyBorder="1"/>
    <xf numFmtId="2" fontId="34" fillId="0" borderId="17" xfId="2" applyNumberFormat="1" applyFont="1" applyBorder="1"/>
    <xf numFmtId="2" fontId="15" fillId="0" borderId="0" xfId="2" applyNumberFormat="1" applyFont="1" applyBorder="1"/>
    <xf numFmtId="1" fontId="133" fillId="0" borderId="0" xfId="0" applyNumberFormat="1" applyFont="1"/>
    <xf numFmtId="1" fontId="119" fillId="0" borderId="0" xfId="0" applyNumberFormat="1" applyFont="1"/>
    <xf numFmtId="0" fontId="119" fillId="0" borderId="0" xfId="0" applyFont="1"/>
    <xf numFmtId="0" fontId="25" fillId="0" borderId="17" xfId="0" applyFont="1" applyBorder="1"/>
    <xf numFmtId="0" fontId="25" fillId="0" borderId="26" xfId="0" applyFont="1" applyBorder="1"/>
    <xf numFmtId="0" fontId="12" fillId="0" borderId="0" xfId="0" applyFont="1" applyAlignment="1">
      <alignment vertical="center"/>
    </xf>
    <xf numFmtId="0" fontId="82" fillId="3" borderId="5" xfId="0" applyFont="1" applyFill="1" applyBorder="1" applyAlignment="1">
      <alignment horizontal="center" vertical="center" wrapText="1"/>
    </xf>
    <xf numFmtId="0" fontId="82" fillId="3" borderId="5" xfId="0" applyFont="1" applyFill="1" applyBorder="1" applyAlignment="1">
      <alignment vertical="center" wrapText="1"/>
    </xf>
    <xf numFmtId="0" fontId="82" fillId="0" borderId="5" xfId="0" applyFont="1" applyBorder="1" applyAlignment="1">
      <alignment horizontal="center"/>
    </xf>
    <xf numFmtId="1" fontId="82" fillId="0" borderId="5" xfId="0" applyNumberFormat="1" applyFont="1" applyBorder="1" applyAlignment="1">
      <alignment horizontal="center"/>
    </xf>
    <xf numFmtId="1" fontId="25" fillId="0" borderId="5" xfId="0" applyNumberFormat="1" applyFont="1" applyBorder="1"/>
    <xf numFmtId="0" fontId="25" fillId="0" borderId="5" xfId="0" applyFont="1" applyBorder="1" applyAlignment="1">
      <alignment horizontal="right"/>
    </xf>
    <xf numFmtId="0" fontId="136" fillId="4" borderId="5" xfId="0" applyFont="1" applyFill="1" applyBorder="1" applyAlignment="1">
      <alignment horizontal="left" vertical="top" wrapText="1"/>
    </xf>
    <xf numFmtId="0" fontId="137" fillId="4" borderId="5" xfId="0" applyFont="1" applyFill="1" applyBorder="1"/>
    <xf numFmtId="0" fontId="136" fillId="4" borderId="5" xfId="0" applyFont="1" applyFill="1" applyBorder="1" applyAlignment="1">
      <alignment wrapText="1"/>
    </xf>
    <xf numFmtId="168" fontId="82" fillId="0" borderId="5" xfId="0" applyNumberFormat="1" applyFont="1" applyBorder="1" applyAlignment="1">
      <alignment horizontal="center"/>
    </xf>
    <xf numFmtId="1" fontId="138" fillId="0" borderId="5" xfId="0" applyNumberFormat="1" applyFont="1" applyBorder="1"/>
    <xf numFmtId="1" fontId="25" fillId="0" borderId="0" xfId="0" applyNumberFormat="1" applyFont="1"/>
    <xf numFmtId="1" fontId="12" fillId="0" borderId="0" xfId="0" applyNumberFormat="1" applyFont="1"/>
    <xf numFmtId="0" fontId="141" fillId="0" borderId="5" xfId="0" applyFont="1" applyBorder="1" applyAlignment="1">
      <alignment wrapText="1"/>
    </xf>
    <xf numFmtId="0" fontId="141" fillId="0" borderId="10" xfId="0" applyFont="1" applyBorder="1" applyAlignment="1">
      <alignment wrapText="1"/>
    </xf>
    <xf numFmtId="0" fontId="136" fillId="0" borderId="5" xfId="0" applyFont="1" applyBorder="1" applyAlignment="1">
      <alignment wrapText="1"/>
    </xf>
    <xf numFmtId="0" fontId="136" fillId="0" borderId="5" xfId="0" applyFont="1" applyBorder="1" applyAlignment="1">
      <alignment horizontal="left" wrapText="1"/>
    </xf>
    <xf numFmtId="0" fontId="136" fillId="4" borderId="17" xfId="0" applyFont="1" applyFill="1" applyBorder="1" applyAlignment="1">
      <alignment horizontal="left" vertical="top" wrapText="1"/>
    </xf>
    <xf numFmtId="0" fontId="136" fillId="4" borderId="5" xfId="0" applyFont="1" applyFill="1" applyBorder="1" applyAlignment="1">
      <alignment horizontal="left" vertical="center" wrapText="1"/>
    </xf>
    <xf numFmtId="0" fontId="141" fillId="0" borderId="5" xfId="0" applyFont="1" applyBorder="1" applyAlignment="1">
      <alignment horizontal="left" wrapText="1"/>
    </xf>
    <xf numFmtId="0" fontId="142" fillId="0" borderId="31" xfId="0" applyFont="1" applyBorder="1" applyAlignment="1">
      <alignment wrapText="1"/>
    </xf>
    <xf numFmtId="0" fontId="136" fillId="0" borderId="10" xfId="0" applyFont="1" applyBorder="1" applyAlignment="1">
      <alignment wrapText="1"/>
    </xf>
    <xf numFmtId="2" fontId="136" fillId="0" borderId="5" xfId="0" applyNumberFormat="1" applyFont="1" applyBorder="1" applyAlignment="1">
      <alignment vertical="top"/>
    </xf>
    <xf numFmtId="0" fontId="82" fillId="3" borderId="5" xfId="0" applyFont="1" applyFill="1" applyBorder="1"/>
    <xf numFmtId="2" fontId="12" fillId="0" borderId="0" xfId="0" applyNumberFormat="1" applyFont="1"/>
    <xf numFmtId="169" fontId="12" fillId="0" borderId="0" xfId="0" applyNumberFormat="1" applyFont="1"/>
    <xf numFmtId="2" fontId="143" fillId="0" borderId="0" xfId="0" applyNumberFormat="1" applyFont="1"/>
    <xf numFmtId="0" fontId="144" fillId="4" borderId="5" xfId="0" applyFont="1" applyFill="1" applyBorder="1" applyAlignment="1">
      <alignment horizontal="left" vertical="top" wrapText="1"/>
    </xf>
    <xf numFmtId="0" fontId="144" fillId="4" borderId="5" xfId="0" applyFont="1" applyFill="1" applyBorder="1"/>
    <xf numFmtId="0" fontId="144" fillId="4" borderId="0" xfId="0" applyFont="1" applyFill="1"/>
    <xf numFmtId="0" fontId="82" fillId="2" borderId="21" xfId="0" applyFont="1" applyFill="1" applyBorder="1" applyAlignment="1">
      <alignment vertical="center"/>
    </xf>
    <xf numFmtId="2" fontId="82" fillId="2" borderId="56" xfId="0" applyNumberFormat="1" applyFont="1" applyFill="1" applyBorder="1" applyAlignment="1">
      <alignment horizontal="center" vertical="center"/>
    </xf>
    <xf numFmtId="0" fontId="82" fillId="2" borderId="52" xfId="0" applyFont="1" applyFill="1" applyBorder="1" applyAlignment="1">
      <alignment horizontal="center" vertical="center"/>
    </xf>
    <xf numFmtId="0" fontId="34" fillId="0" borderId="24" xfId="0" applyFont="1" applyBorder="1" applyAlignment="1">
      <alignment vertical="center"/>
    </xf>
    <xf numFmtId="2" fontId="63" fillId="0" borderId="57" xfId="0" applyNumberFormat="1" applyFont="1" applyBorder="1" applyAlignment="1">
      <alignment vertical="center"/>
    </xf>
    <xf numFmtId="0" fontId="63" fillId="0" borderId="12" xfId="0" applyFont="1" applyBorder="1" applyAlignment="1">
      <alignment vertical="center"/>
    </xf>
    <xf numFmtId="0" fontId="69" fillId="0" borderId="24" xfId="0" applyFont="1" applyBorder="1" applyAlignment="1">
      <alignment vertical="center"/>
    </xf>
    <xf numFmtId="1" fontId="145" fillId="0" borderId="57" xfId="0" applyNumberFormat="1" applyFont="1" applyBorder="1" applyAlignment="1">
      <alignment vertical="center"/>
    </xf>
    <xf numFmtId="0" fontId="35" fillId="0" borderId="24" xfId="0" applyFont="1" applyBorder="1" applyAlignment="1">
      <alignment vertical="center"/>
    </xf>
    <xf numFmtId="1" fontId="63" fillId="0" borderId="57" xfId="0" applyNumberFormat="1" applyFont="1" applyBorder="1" applyAlignment="1">
      <alignment vertical="center"/>
    </xf>
    <xf numFmtId="0" fontId="35" fillId="0" borderId="24" xfId="0" applyFont="1" applyBorder="1" applyAlignment="1">
      <alignment horizontal="center" vertical="center"/>
    </xf>
    <xf numFmtId="1" fontId="93" fillId="0" borderId="0" xfId="0" applyNumberFormat="1" applyFont="1" applyAlignment="1">
      <alignment vertical="center"/>
    </xf>
    <xf numFmtId="0" fontId="35" fillId="0" borderId="24" xfId="0" applyFont="1" applyBorder="1" applyAlignment="1">
      <alignment horizontal="center" vertical="center" wrapText="1"/>
    </xf>
    <xf numFmtId="2" fontId="93" fillId="0" borderId="0" xfId="0" applyNumberFormat="1" applyFont="1" applyAlignment="1">
      <alignment vertical="center"/>
    </xf>
    <xf numFmtId="1" fontId="15" fillId="0" borderId="57" xfId="0" applyNumberFormat="1" applyFont="1" applyBorder="1" applyAlignment="1">
      <alignment vertical="center"/>
    </xf>
    <xf numFmtId="0" fontId="63" fillId="0" borderId="24" xfId="0" applyFont="1" applyBorder="1" applyAlignment="1">
      <alignment vertical="center"/>
    </xf>
    <xf numFmtId="1" fontId="15" fillId="4" borderId="57" xfId="0" applyNumberFormat="1" applyFont="1" applyFill="1" applyBorder="1" applyAlignment="1">
      <alignment vertical="center"/>
    </xf>
    <xf numFmtId="0" fontId="34" fillId="0" borderId="44" xfId="0" applyFont="1" applyBorder="1" applyAlignment="1">
      <alignment vertical="center"/>
    </xf>
    <xf numFmtId="1" fontId="15" fillId="0" borderId="58" xfId="0" applyNumberFormat="1" applyFont="1" applyBorder="1" applyAlignment="1">
      <alignment vertical="center"/>
    </xf>
    <xf numFmtId="1" fontId="119" fillId="0" borderId="0" xfId="0" applyNumberFormat="1" applyFont="1" applyAlignment="1">
      <alignment vertical="center"/>
    </xf>
    <xf numFmtId="2" fontId="119" fillId="0" borderId="0" xfId="0" applyNumberFormat="1" applyFont="1" applyAlignment="1">
      <alignment vertical="center"/>
    </xf>
    <xf numFmtId="2" fontId="119" fillId="0" borderId="0" xfId="0" applyNumberFormat="1" applyFont="1"/>
    <xf numFmtId="2" fontId="84" fillId="0" borderId="0" xfId="0" applyNumberFormat="1" applyFont="1"/>
    <xf numFmtId="0" fontId="82" fillId="0" borderId="5" xfId="0" applyFont="1" applyBorder="1" applyAlignment="1">
      <alignment vertical="center"/>
    </xf>
    <xf numFmtId="0" fontId="83" fillId="0" borderId="5" xfId="0" applyFont="1" applyBorder="1" applyAlignment="1">
      <alignment vertical="center"/>
    </xf>
    <xf numFmtId="0" fontId="82" fillId="0" borderId="5" xfId="0" applyFont="1" applyBorder="1"/>
    <xf numFmtId="2" fontId="34" fillId="0" borderId="0" xfId="0" applyNumberFormat="1" applyFont="1"/>
    <xf numFmtId="168" fontId="25" fillId="5" borderId="5" xfId="0" applyNumberFormat="1" applyFont="1" applyFill="1" applyBorder="1"/>
    <xf numFmtId="169" fontId="34" fillId="0" borderId="0" xfId="0" applyNumberFormat="1" applyFont="1"/>
    <xf numFmtId="0" fontId="0" fillId="0" borderId="26" xfId="0" applyBorder="1"/>
    <xf numFmtId="0" fontId="69" fillId="0" borderId="4" xfId="0" applyFont="1" applyBorder="1"/>
    <xf numFmtId="168" fontId="15" fillId="0" borderId="0" xfId="0" applyNumberFormat="1" applyFont="1" applyAlignment="1">
      <alignment vertical="center"/>
    </xf>
    <xf numFmtId="169" fontId="15" fillId="0" borderId="0" xfId="0" applyNumberFormat="1" applyFont="1" applyAlignment="1">
      <alignment vertical="center"/>
    </xf>
    <xf numFmtId="0" fontId="12" fillId="0" borderId="0" xfId="7" applyFont="1" applyAlignment="1">
      <alignment vertical="center"/>
    </xf>
    <xf numFmtId="0" fontId="25" fillId="0" borderId="0" xfId="7" applyFont="1" applyAlignment="1">
      <alignment vertical="center"/>
    </xf>
    <xf numFmtId="0" fontId="82" fillId="0" borderId="0" xfId="7" applyFont="1" applyAlignment="1">
      <alignment horizontal="center" vertical="center"/>
    </xf>
    <xf numFmtId="0" fontId="83" fillId="0" borderId="0" xfId="7" applyFont="1" applyAlignment="1">
      <alignment vertical="center"/>
    </xf>
    <xf numFmtId="0" fontId="94" fillId="0" borderId="0" xfId="7" applyFont="1" applyAlignment="1">
      <alignment horizontal="right" vertical="center"/>
    </xf>
    <xf numFmtId="0" fontId="82" fillId="0" borderId="0" xfId="7" applyFont="1" applyAlignment="1">
      <alignment vertical="center"/>
    </xf>
    <xf numFmtId="0" fontId="82" fillId="0" borderId="4" xfId="7" applyFont="1" applyBorder="1" applyAlignment="1">
      <alignment vertical="center"/>
    </xf>
    <xf numFmtId="0" fontId="82" fillId="0" borderId="5" xfId="7" applyFont="1" applyBorder="1" applyAlignment="1">
      <alignment horizontal="center" vertical="center"/>
    </xf>
    <xf numFmtId="0" fontId="82" fillId="0" borderId="6" xfId="7" applyFont="1" applyBorder="1" applyAlignment="1">
      <alignment horizontal="center" vertical="center"/>
    </xf>
    <xf numFmtId="0" fontId="82" fillId="3" borderId="4" xfId="7" applyFont="1" applyFill="1" applyBorder="1" applyAlignment="1">
      <alignment vertical="center"/>
    </xf>
    <xf numFmtId="2" fontId="146" fillId="0" borderId="5" xfId="7" applyNumberFormat="1" applyFont="1" applyBorder="1" applyAlignment="1">
      <alignment vertical="center"/>
    </xf>
    <xf numFmtId="0" fontId="83" fillId="5" borderId="6" xfId="7" applyFont="1" applyFill="1" applyBorder="1" applyAlignment="1">
      <alignment vertical="center"/>
    </xf>
    <xf numFmtId="2" fontId="83" fillId="0" borderId="0" xfId="7" applyNumberFormat="1" applyFont="1" applyAlignment="1">
      <alignment vertical="center"/>
    </xf>
    <xf numFmtId="0" fontId="35" fillId="0" borderId="4" xfId="7" applyFont="1" applyBorder="1" applyAlignment="1">
      <alignment vertical="center" wrapText="1"/>
    </xf>
    <xf numFmtId="1" fontId="83" fillId="0" borderId="5" xfId="7" applyNumberFormat="1" applyFont="1" applyBorder="1" applyAlignment="1">
      <alignment vertical="center"/>
    </xf>
    <xf numFmtId="1" fontId="83" fillId="5" borderId="6" xfId="7" applyNumberFormat="1" applyFont="1" applyFill="1" applyBorder="1" applyAlignment="1">
      <alignment vertical="center"/>
    </xf>
    <xf numFmtId="1" fontId="83" fillId="5" borderId="5" xfId="7" applyNumberFormat="1" applyFont="1" applyFill="1" applyBorder="1" applyAlignment="1">
      <alignment vertical="center"/>
    </xf>
    <xf numFmtId="0" fontId="34" fillId="0" borderId="4" xfId="7" applyFont="1" applyBorder="1" applyAlignment="1">
      <alignment vertical="center" wrapText="1"/>
    </xf>
    <xf numFmtId="1" fontId="147" fillId="0" borderId="5" xfId="7" applyNumberFormat="1" applyFont="1" applyBorder="1" applyAlignment="1">
      <alignment vertical="center"/>
    </xf>
    <xf numFmtId="1" fontId="147" fillId="0" borderId="6" xfId="7" applyNumberFormat="1" applyFont="1" applyBorder="1" applyAlignment="1">
      <alignment vertical="center"/>
    </xf>
    <xf numFmtId="0" fontId="83" fillId="0" borderId="4" xfId="7" applyFont="1" applyBorder="1" applyAlignment="1">
      <alignment horizontal="right" vertical="center"/>
    </xf>
    <xf numFmtId="1" fontId="83" fillId="0" borderId="6" xfId="7" applyNumberFormat="1" applyFont="1" applyBorder="1" applyAlignment="1">
      <alignment vertical="center"/>
    </xf>
    <xf numFmtId="1" fontId="85" fillId="0" borderId="5" xfId="7" applyNumberFormat="1" applyFont="1" applyBorder="1" applyAlignment="1">
      <alignment vertical="center"/>
    </xf>
    <xf numFmtId="0" fontId="34" fillId="0" borderId="7" xfId="7" applyFont="1" applyBorder="1" applyAlignment="1">
      <alignment vertical="center" wrapText="1"/>
    </xf>
    <xf numFmtId="1" fontId="147" fillId="0" borderId="8" xfId="7" applyNumberFormat="1" applyFont="1" applyBorder="1" applyAlignment="1">
      <alignment vertical="center"/>
    </xf>
    <xf numFmtId="1" fontId="147" fillId="0" borderId="9" xfId="7" applyNumberFormat="1" applyFont="1" applyBorder="1" applyAlignment="1">
      <alignment vertical="center"/>
    </xf>
    <xf numFmtId="0" fontId="86" fillId="0" borderId="0" xfId="7" applyFont="1" applyAlignment="1">
      <alignment horizontal="left" vertical="center" wrapText="1"/>
    </xf>
    <xf numFmtId="0" fontId="148" fillId="0" borderId="0" xfId="7" applyFont="1" applyAlignment="1">
      <alignment vertical="center"/>
    </xf>
    <xf numFmtId="0" fontId="116" fillId="0" borderId="17" xfId="0" applyFont="1" applyBorder="1" applyAlignment="1">
      <alignment horizontal="center" vertical="center"/>
    </xf>
    <xf numFmtId="0" fontId="116" fillId="0" borderId="17" xfId="0" applyFont="1" applyBorder="1" applyAlignment="1">
      <alignment horizontal="center" vertical="center" wrapText="1"/>
    </xf>
    <xf numFmtId="0" fontId="78" fillId="0" borderId="5" xfId="0" applyFont="1" applyBorder="1" applyAlignment="1">
      <alignment vertical="center"/>
    </xf>
    <xf numFmtId="0" fontId="124" fillId="0" borderId="5" xfId="0" applyFont="1" applyBorder="1" applyAlignment="1">
      <alignment vertical="center"/>
    </xf>
    <xf numFmtId="1" fontId="94" fillId="0" borderId="0" xfId="0" applyNumberFormat="1" applyFont="1" applyAlignment="1">
      <alignment horizontal="right" vertical="center"/>
    </xf>
    <xf numFmtId="1" fontId="34" fillId="2" borderId="61" xfId="0" applyNumberFormat="1" applyFont="1" applyFill="1" applyBorder="1" applyAlignment="1">
      <alignment vertical="center"/>
    </xf>
    <xf numFmtId="1" fontId="34" fillId="2" borderId="62" xfId="0" applyNumberFormat="1" applyFont="1" applyFill="1" applyBorder="1" applyAlignment="1">
      <alignment horizontal="center" vertical="center"/>
    </xf>
    <xf numFmtId="1" fontId="34" fillId="2" borderId="63" xfId="0" applyNumberFormat="1" applyFont="1" applyFill="1" applyBorder="1" applyAlignment="1">
      <alignment horizontal="center" vertical="center"/>
    </xf>
    <xf numFmtId="1" fontId="69" fillId="0" borderId="33" xfId="0" applyNumberFormat="1" applyFont="1" applyBorder="1" applyAlignment="1">
      <alignment vertical="center"/>
    </xf>
    <xf numFmtId="1" fontId="63" fillId="0" borderId="26" xfId="0" applyNumberFormat="1" applyFont="1" applyBorder="1" applyAlignment="1">
      <alignment horizontal="center" vertical="center"/>
    </xf>
    <xf numFmtId="1" fontId="149" fillId="0" borderId="26" xfId="0" applyNumberFormat="1" applyFont="1" applyBorder="1" applyAlignment="1">
      <alignment horizontal="right" vertical="center"/>
    </xf>
    <xf numFmtId="1" fontId="149" fillId="0" borderId="35" xfId="0" applyNumberFormat="1" applyFont="1" applyBorder="1" applyAlignment="1">
      <alignment horizontal="right" vertical="center"/>
    </xf>
    <xf numFmtId="1" fontId="63" fillId="0" borderId="5" xfId="0" applyNumberFormat="1" applyFont="1" applyBorder="1" applyAlignment="1">
      <alignment horizontal="center" vertical="center"/>
    </xf>
    <xf numFmtId="1" fontId="149" fillId="0" borderId="5" xfId="0" applyNumberFormat="1" applyFont="1" applyBorder="1" applyAlignment="1">
      <alignment horizontal="right" vertical="center"/>
    </xf>
    <xf numFmtId="1" fontId="149" fillId="0" borderId="6" xfId="0" applyNumberFormat="1" applyFont="1" applyBorder="1" applyAlignment="1">
      <alignment horizontal="right" vertical="center"/>
    </xf>
    <xf numFmtId="1" fontId="15" fillId="0" borderId="5" xfId="0" applyNumberFormat="1" applyFont="1" applyBorder="1" applyAlignment="1">
      <alignment horizontal="center" vertical="center"/>
    </xf>
    <xf numFmtId="1" fontId="150" fillId="0" borderId="5" xfId="0" applyNumberFormat="1" applyFont="1" applyBorder="1" applyAlignment="1">
      <alignment horizontal="right" vertical="center"/>
    </xf>
    <xf numFmtId="1" fontId="150" fillId="0" borderId="6" xfId="0" applyNumberFormat="1" applyFont="1" applyBorder="1" applyAlignment="1">
      <alignment horizontal="right" vertical="center"/>
    </xf>
    <xf numFmtId="1" fontId="133" fillId="0" borderId="6" xfId="0" applyNumberFormat="1" applyFont="1" applyBorder="1" applyAlignment="1">
      <alignment vertical="center"/>
    </xf>
    <xf numFmtId="1" fontId="149" fillId="0" borderId="5" xfId="0" applyNumberFormat="1" applyFont="1" applyBorder="1" applyAlignment="1">
      <alignment vertical="center"/>
    </xf>
    <xf numFmtId="1" fontId="150" fillId="0" borderId="5" xfId="0" applyNumberFormat="1" applyFont="1" applyBorder="1" applyAlignment="1">
      <alignment vertical="center"/>
    </xf>
    <xf numFmtId="1" fontId="150" fillId="0" borderId="6" xfId="0" applyNumberFormat="1" applyFont="1" applyBorder="1" applyAlignment="1">
      <alignment vertical="center"/>
    </xf>
    <xf numFmtId="1" fontId="63" fillId="0" borderId="0" xfId="0" applyNumberFormat="1" applyFont="1" applyAlignment="1">
      <alignment horizontal="center" vertical="center"/>
    </xf>
    <xf numFmtId="1" fontId="15" fillId="0" borderId="0" xfId="0" applyNumberFormat="1" applyFont="1" applyAlignment="1">
      <alignment horizontal="left"/>
    </xf>
    <xf numFmtId="1" fontId="63" fillId="0" borderId="0" xfId="0" applyNumberFormat="1" applyFont="1" applyAlignment="1">
      <alignment horizontal="center"/>
    </xf>
    <xf numFmtId="1" fontId="15" fillId="0" borderId="0" xfId="0" applyNumberFormat="1" applyFont="1" applyAlignment="1">
      <alignment horizontal="right"/>
    </xf>
    <xf numFmtId="1" fontId="15" fillId="0" borderId="0" xfId="0" applyNumberFormat="1" applyFont="1" applyAlignment="1">
      <alignment horizontal="center"/>
    </xf>
    <xf numFmtId="0" fontId="15" fillId="0" borderId="61" xfId="0" applyFont="1" applyBorder="1" applyAlignment="1">
      <alignment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33" xfId="0" applyFont="1" applyBorder="1" applyAlignment="1">
      <alignment vertical="center"/>
    </xf>
    <xf numFmtId="0" fontId="63" fillId="0" borderId="26" xfId="0" applyFont="1" applyBorder="1" applyAlignment="1">
      <alignment horizontal="center" vertical="center"/>
    </xf>
    <xf numFmtId="0" fontId="63" fillId="0" borderId="26" xfId="0" applyFont="1" applyBorder="1" applyAlignment="1">
      <alignment vertical="center"/>
    </xf>
    <xf numFmtId="0" fontId="63" fillId="0" borderId="35" xfId="0" applyFont="1" applyBorder="1" applyAlignment="1">
      <alignment vertical="center"/>
    </xf>
    <xf numFmtId="168" fontId="63" fillId="0" borderId="6" xfId="0" applyNumberFormat="1" applyFont="1" applyBorder="1" applyAlignment="1">
      <alignment vertical="center"/>
    </xf>
    <xf numFmtId="1" fontId="34" fillId="0" borderId="6" xfId="0" applyNumberFormat="1" applyFont="1" applyBorder="1" applyAlignment="1">
      <alignment vertical="center"/>
    </xf>
    <xf numFmtId="171" fontId="63" fillId="0" borderId="0" xfId="0" applyNumberFormat="1" applyFont="1"/>
    <xf numFmtId="2" fontId="63" fillId="0" borderId="6" xfId="0" applyNumberFormat="1" applyFont="1" applyBorder="1" applyAlignment="1">
      <alignment vertical="center"/>
    </xf>
    <xf numFmtId="2" fontId="114" fillId="0" borderId="0" xfId="0" applyNumberFormat="1" applyFont="1"/>
    <xf numFmtId="0" fontId="15" fillId="0" borderId="42" xfId="0" applyFont="1" applyBorder="1" applyAlignment="1">
      <alignment vertical="center"/>
    </xf>
    <xf numFmtId="0" fontId="63" fillId="0" borderId="17" xfId="0" applyFont="1" applyBorder="1" applyAlignment="1">
      <alignment horizontal="center" vertical="center"/>
    </xf>
    <xf numFmtId="2" fontId="63" fillId="0" borderId="17" xfId="0" applyNumberFormat="1" applyFont="1" applyBorder="1" applyAlignment="1">
      <alignment vertical="center"/>
    </xf>
    <xf numFmtId="2" fontId="63" fillId="0" borderId="34" xfId="0" applyNumberFormat="1" applyFont="1" applyBorder="1" applyAlignment="1">
      <alignment vertical="center"/>
    </xf>
    <xf numFmtId="0" fontId="15" fillId="0" borderId="7" xfId="0" applyFont="1" applyBorder="1" applyAlignment="1">
      <alignment vertical="center"/>
    </xf>
    <xf numFmtId="0" fontId="63" fillId="0" borderId="8" xfId="0" applyFont="1" applyBorder="1" applyAlignment="1">
      <alignment horizontal="center" vertical="center"/>
    </xf>
    <xf numFmtId="1" fontId="63" fillId="0" borderId="8" xfId="0" applyNumberFormat="1" applyFont="1" applyBorder="1" applyAlignment="1">
      <alignment vertical="center"/>
    </xf>
    <xf numFmtId="0" fontId="63" fillId="0" borderId="9" xfId="0" applyFont="1" applyBorder="1" applyAlignment="1">
      <alignment vertical="center"/>
    </xf>
    <xf numFmtId="1" fontId="0" fillId="0" borderId="0" xfId="0" applyNumberFormat="1" applyAlignment="1">
      <alignment horizontal="center"/>
    </xf>
    <xf numFmtId="1" fontId="35" fillId="0" borderId="4" xfId="0" quotePrefix="1" applyNumberFormat="1" applyFont="1" applyBorder="1" applyAlignment="1">
      <alignment vertical="center"/>
    </xf>
    <xf numFmtId="0" fontId="86" fillId="0" borderId="0" xfId="0" quotePrefix="1" applyFont="1"/>
    <xf numFmtId="0" fontId="25" fillId="0" borderId="0" xfId="0" quotePrefix="1" applyFont="1" applyAlignment="1">
      <alignment horizontal="center"/>
    </xf>
    <xf numFmtId="2" fontId="27" fillId="0" borderId="5" xfId="12" quotePrefix="1" applyNumberFormat="1" applyFont="1" applyBorder="1" applyAlignment="1">
      <alignment horizontal="left" vertical="center"/>
    </xf>
    <xf numFmtId="2" fontId="27" fillId="0" borderId="5" xfId="8" quotePrefix="1" applyNumberFormat="1" applyFont="1" applyBorder="1" applyAlignment="1">
      <alignment horizontal="left" vertical="center"/>
    </xf>
    <xf numFmtId="167" fontId="25" fillId="0" borderId="5" xfId="0" quotePrefix="1" applyNumberFormat="1" applyFont="1" applyBorder="1" applyAlignment="1">
      <alignment horizontal="center"/>
    </xf>
    <xf numFmtId="0" fontId="25" fillId="0" borderId="5" xfId="0" quotePrefix="1" applyFont="1" applyBorder="1" applyAlignment="1">
      <alignment horizontal="center"/>
    </xf>
    <xf numFmtId="1" fontId="25" fillId="0" borderId="0" xfId="7" applyNumberFormat="1" applyFont="1" applyAlignment="1">
      <alignment vertical="center"/>
    </xf>
    <xf numFmtId="0" fontId="162" fillId="0" borderId="5" xfId="0" applyFont="1" applyBorder="1" applyAlignment="1">
      <alignment horizontal="right" vertical="center"/>
    </xf>
    <xf numFmtId="0" fontId="164" fillId="0" borderId="5" xfId="0" applyFont="1" applyBorder="1"/>
    <xf numFmtId="0" fontId="165" fillId="0" borderId="5" xfId="0" applyFont="1" applyBorder="1"/>
    <xf numFmtId="0" fontId="164" fillId="0" borderId="0" xfId="0" applyFont="1"/>
    <xf numFmtId="2" fontId="15" fillId="0" borderId="5" xfId="0" applyNumberFormat="1" applyFont="1" applyBorder="1" applyAlignment="1">
      <alignment vertical="center"/>
    </xf>
    <xf numFmtId="0" fontId="163" fillId="0" borderId="5" xfId="0" applyFont="1" applyBorder="1"/>
    <xf numFmtId="0" fontId="5" fillId="4" borderId="5" xfId="0" applyFont="1" applyFill="1" applyBorder="1"/>
    <xf numFmtId="2" fontId="5" fillId="4" borderId="5" xfId="0" applyNumberFormat="1" applyFont="1" applyFill="1" applyBorder="1"/>
    <xf numFmtId="2" fontId="163" fillId="0" borderId="5" xfId="0" applyNumberFormat="1" applyFont="1" applyBorder="1"/>
    <xf numFmtId="0" fontId="5" fillId="0" borderId="5" xfId="0" applyFont="1" applyBorder="1"/>
    <xf numFmtId="2" fontId="6" fillId="0" borderId="5" xfId="0" applyNumberFormat="1" applyFont="1" applyBorder="1"/>
    <xf numFmtId="0" fontId="166" fillId="4" borderId="26" xfId="0" applyFont="1" applyFill="1" applyBorder="1"/>
    <xf numFmtId="2" fontId="167" fillId="4" borderId="5" xfId="0" applyNumberFormat="1" applyFont="1" applyFill="1" applyBorder="1"/>
    <xf numFmtId="2" fontId="167" fillId="4" borderId="26" xfId="0" applyNumberFormat="1" applyFont="1" applyFill="1" applyBorder="1"/>
    <xf numFmtId="0" fontId="168" fillId="0" borderId="5" xfId="0" applyFont="1" applyBorder="1" applyAlignment="1">
      <alignment horizontal="center"/>
    </xf>
    <xf numFmtId="0" fontId="168" fillId="4" borderId="5" xfId="0" applyFont="1" applyFill="1" applyBorder="1"/>
    <xf numFmtId="0" fontId="169" fillId="0" borderId="5" xfId="0" applyFont="1" applyBorder="1" applyAlignment="1">
      <alignment horizontal="center"/>
    </xf>
    <xf numFmtId="0" fontId="168" fillId="4" borderId="26" xfId="0" applyFont="1" applyFill="1" applyBorder="1"/>
    <xf numFmtId="0" fontId="169" fillId="0" borderId="5" xfId="0" applyFont="1" applyBorder="1"/>
    <xf numFmtId="0" fontId="6" fillId="0" borderId="35" xfId="0" applyFont="1" applyBorder="1" applyAlignment="1">
      <alignment horizontal="center"/>
    </xf>
    <xf numFmtId="0" fontId="5" fillId="0" borderId="4" xfId="0" applyFont="1" applyBorder="1" applyAlignment="1">
      <alignment horizontal="center" vertical="center"/>
    </xf>
    <xf numFmtId="0" fontId="5" fillId="0" borderId="42" xfId="0" applyFont="1" applyBorder="1" applyAlignment="1">
      <alignment horizontal="center" vertical="center"/>
    </xf>
    <xf numFmtId="0" fontId="5" fillId="0" borderId="17" xfId="0" applyFont="1" applyBorder="1"/>
    <xf numFmtId="0" fontId="5" fillId="0" borderId="5" xfId="0" applyFont="1" applyBorder="1" applyAlignment="1">
      <alignment horizontal="center" vertical="center"/>
    </xf>
    <xf numFmtId="0" fontId="5" fillId="0" borderId="5" xfId="0" applyFont="1" applyBorder="1" applyAlignment="1">
      <alignment wrapText="1"/>
    </xf>
    <xf numFmtId="0" fontId="5" fillId="0" borderId="35" xfId="0" applyFont="1" applyBorder="1" applyAlignment="1">
      <alignment horizontal="center"/>
    </xf>
    <xf numFmtId="0" fontId="6" fillId="0" borderId="5" xfId="0" applyFont="1" applyBorder="1" applyAlignment="1">
      <alignment horizontal="right"/>
    </xf>
    <xf numFmtId="0" fontId="82" fillId="3" borderId="17" xfId="0" applyFont="1" applyFill="1" applyBorder="1" applyAlignment="1">
      <alignment horizontal="center" vertical="center" wrapText="1"/>
    </xf>
    <xf numFmtId="0" fontId="82" fillId="3" borderId="10" xfId="0" applyFont="1" applyFill="1" applyBorder="1" applyAlignment="1">
      <alignment horizontal="center" vertical="center" wrapText="1"/>
    </xf>
    <xf numFmtId="0" fontId="82" fillId="3" borderId="19" xfId="0" applyFont="1" applyFill="1" applyBorder="1" applyAlignment="1">
      <alignment horizontal="center" vertical="center" wrapText="1"/>
    </xf>
    <xf numFmtId="0" fontId="82" fillId="3" borderId="26" xfId="0" applyFont="1" applyFill="1" applyBorder="1" applyAlignment="1">
      <alignment horizontal="center" vertical="center" wrapText="1"/>
    </xf>
    <xf numFmtId="168" fontId="25" fillId="0" borderId="5" xfId="0" applyNumberFormat="1" applyFont="1" applyBorder="1"/>
    <xf numFmtId="0" fontId="137" fillId="4" borderId="0" xfId="0" applyFont="1" applyFill="1"/>
    <xf numFmtId="0" fontId="136" fillId="4" borderId="5" xfId="0" applyFont="1" applyFill="1" applyBorder="1"/>
    <xf numFmtId="0" fontId="139" fillId="4" borderId="5" xfId="0" applyFont="1" applyFill="1" applyBorder="1"/>
    <xf numFmtId="0" fontId="63" fillId="0" borderId="5" xfId="0" applyFont="1" applyBorder="1" applyAlignment="1">
      <alignment horizontal="center" vertical="center" wrapText="1"/>
    </xf>
    <xf numFmtId="0" fontId="4" fillId="0" borderId="5" xfId="4" applyFont="1" applyBorder="1"/>
    <xf numFmtId="2" fontId="4" fillId="0" borderId="5" xfId="4" applyNumberFormat="1" applyFont="1" applyBorder="1"/>
    <xf numFmtId="0" fontId="170" fillId="0" borderId="4" xfId="0" applyFont="1" applyBorder="1" applyAlignment="1">
      <alignment horizontal="center"/>
    </xf>
    <xf numFmtId="0" fontId="170" fillId="0" borderId="5" xfId="0" applyFont="1" applyBorder="1" applyAlignment="1">
      <alignment horizontal="center"/>
    </xf>
    <xf numFmtId="2" fontId="170" fillId="0" borderId="6" xfId="0" applyNumberFormat="1" applyFont="1" applyBorder="1" applyAlignment="1">
      <alignment horizontal="right"/>
    </xf>
    <xf numFmtId="0" fontId="170" fillId="0" borderId="5" xfId="0" applyFont="1" applyBorder="1" applyAlignment="1">
      <alignment horizontal="left" vertical="top"/>
    </xf>
    <xf numFmtId="2" fontId="170" fillId="0" borderId="10" xfId="0" applyNumberFormat="1" applyFont="1" applyBorder="1" applyAlignment="1">
      <alignment horizontal="right"/>
    </xf>
    <xf numFmtId="0" fontId="140" fillId="0" borderId="4" xfId="0" applyFont="1" applyBorder="1" applyAlignment="1">
      <alignment horizontal="center"/>
    </xf>
    <xf numFmtId="0" fontId="140" fillId="0" borderId="7" xfId="0" applyFont="1" applyBorder="1" applyAlignment="1">
      <alignment horizontal="center"/>
    </xf>
    <xf numFmtId="0" fontId="140" fillId="4" borderId="4" xfId="0" applyFont="1" applyFill="1" applyBorder="1" applyAlignment="1">
      <alignment horizontal="center"/>
    </xf>
    <xf numFmtId="0" fontId="140" fillId="0" borderId="42" xfId="0" applyFont="1" applyBorder="1" applyAlignment="1">
      <alignment horizontal="center"/>
    </xf>
    <xf numFmtId="0" fontId="4" fillId="0" borderId="17" xfId="4" applyFont="1" applyBorder="1"/>
    <xf numFmtId="2" fontId="4" fillId="0" borderId="17" xfId="4" applyNumberFormat="1" applyFont="1" applyBorder="1"/>
    <xf numFmtId="0" fontId="28" fillId="0" borderId="5" xfId="0" applyFont="1" applyBorder="1"/>
    <xf numFmtId="0" fontId="11" fillId="0" borderId="5" xfId="0" applyFont="1" applyBorder="1" applyAlignment="1">
      <alignment horizontal="right"/>
    </xf>
    <xf numFmtId="2" fontId="6" fillId="0" borderId="5" xfId="4" applyNumberFormat="1" applyFont="1" applyBorder="1"/>
    <xf numFmtId="0" fontId="140" fillId="0" borderId="18" xfId="0" applyFont="1" applyBorder="1" applyAlignment="1">
      <alignment horizontal="center"/>
    </xf>
    <xf numFmtId="0" fontId="4" fillId="0" borderId="5" xfId="0" applyFont="1" applyBorder="1" applyAlignment="1">
      <alignment horizontal="center" vertical="center"/>
    </xf>
    <xf numFmtId="0" fontId="6" fillId="0" borderId="4" xfId="0" applyFont="1" applyBorder="1" applyAlignment="1">
      <alignment horizontal="center" vertical="center"/>
    </xf>
    <xf numFmtId="0" fontId="140" fillId="0" borderId="1" xfId="0" applyFont="1" applyBorder="1" applyAlignment="1">
      <alignment horizontal="center" vertical="center"/>
    </xf>
    <xf numFmtId="0" fontId="140" fillId="0" borderId="19" xfId="0" applyFont="1" applyBorder="1" applyAlignment="1">
      <alignment horizontal="left" vertical="top"/>
    </xf>
    <xf numFmtId="0" fontId="140" fillId="0" borderId="5" xfId="4" applyFont="1" applyBorder="1" applyAlignment="1">
      <alignment horizontal="center" vertical="center"/>
    </xf>
    <xf numFmtId="0" fontId="140" fillId="0" borderId="5" xfId="4" applyFont="1" applyBorder="1" applyAlignment="1">
      <alignment horizontal="left" vertical="top"/>
    </xf>
    <xf numFmtId="0" fontId="140" fillId="0" borderId="4" xfId="0" applyFont="1" applyBorder="1" applyAlignment="1">
      <alignment horizontal="center" vertical="center"/>
    </xf>
    <xf numFmtId="0" fontId="140" fillId="0" borderId="5" xfId="0" applyFont="1" applyBorder="1" applyAlignment="1">
      <alignment horizontal="left" vertical="top"/>
    </xf>
    <xf numFmtId="1" fontId="6" fillId="0" borderId="9" xfId="0" applyNumberFormat="1" applyFont="1" applyBorder="1" applyAlignment="1">
      <alignment horizontal="right"/>
    </xf>
    <xf numFmtId="0" fontId="3" fillId="0" borderId="5" xfId="4" applyFont="1" applyBorder="1"/>
    <xf numFmtId="2" fontId="3" fillId="0" borderId="5" xfId="4" applyNumberFormat="1" applyFont="1" applyBorder="1"/>
    <xf numFmtId="0" fontId="3" fillId="0" borderId="5" xfId="18" applyBorder="1"/>
    <xf numFmtId="2" fontId="3" fillId="0" borderId="5" xfId="18" applyNumberFormat="1" applyBorder="1"/>
    <xf numFmtId="0" fontId="136" fillId="0" borderId="0" xfId="0" applyFont="1"/>
    <xf numFmtId="0" fontId="172" fillId="0" borderId="0" xfId="19" applyFont="1"/>
    <xf numFmtId="0" fontId="172" fillId="8" borderId="65" xfId="19" applyFont="1" applyFill="1" applyBorder="1" applyAlignment="1">
      <alignment vertical="center" wrapText="1"/>
    </xf>
    <xf numFmtId="0" fontId="172" fillId="9" borderId="66" xfId="19" applyFont="1" applyFill="1" applyBorder="1" applyAlignment="1">
      <alignment vertical="center" wrapText="1"/>
    </xf>
    <xf numFmtId="0" fontId="173" fillId="9" borderId="67" xfId="19" applyFont="1" applyFill="1" applyBorder="1" applyAlignment="1">
      <alignment vertical="center" wrapText="1"/>
    </xf>
    <xf numFmtId="0" fontId="172" fillId="8" borderId="68" xfId="19" applyFont="1" applyFill="1" applyBorder="1" applyAlignment="1">
      <alignment vertical="center" wrapText="1"/>
    </xf>
    <xf numFmtId="0" fontId="173" fillId="0" borderId="0" xfId="19" applyFont="1"/>
    <xf numFmtId="0" fontId="136" fillId="0" borderId="5" xfId="0" applyFont="1" applyBorder="1"/>
    <xf numFmtId="0" fontId="172" fillId="9" borderId="67" xfId="19" applyFont="1" applyFill="1" applyBorder="1" applyAlignment="1">
      <alignment vertical="center" wrapText="1"/>
    </xf>
    <xf numFmtId="0" fontId="172" fillId="9" borderId="65" xfId="19" applyFont="1" applyFill="1" applyBorder="1" applyAlignment="1">
      <alignment vertical="center" wrapText="1"/>
    </xf>
    <xf numFmtId="0" fontId="172" fillId="8" borderId="67" xfId="19" applyFont="1" applyFill="1" applyBorder="1" applyAlignment="1">
      <alignment vertical="center" wrapText="1"/>
    </xf>
    <xf numFmtId="0" fontId="172" fillId="9" borderId="68" xfId="19" applyFont="1" applyFill="1" applyBorder="1" applyAlignment="1">
      <alignment vertical="center" wrapText="1"/>
    </xf>
    <xf numFmtId="0" fontId="173" fillId="9" borderId="65" xfId="19" applyFont="1" applyFill="1" applyBorder="1" applyAlignment="1">
      <alignment vertical="center" wrapText="1"/>
    </xf>
    <xf numFmtId="0" fontId="174" fillId="9" borderId="68" xfId="19" applyFont="1" applyFill="1" applyBorder="1" applyAlignment="1">
      <alignment vertical="center" wrapText="1"/>
    </xf>
    <xf numFmtId="0" fontId="131" fillId="4" borderId="5" xfId="0" applyFont="1" applyFill="1" applyBorder="1"/>
    <xf numFmtId="0" fontId="131" fillId="4" borderId="0" xfId="0" applyFont="1" applyFill="1"/>
    <xf numFmtId="0" fontId="3" fillId="0" borderId="35" xfId="7" applyFont="1" applyBorder="1" applyAlignment="1">
      <alignment horizontal="right"/>
    </xf>
    <xf numFmtId="0" fontId="3" fillId="0" borderId="6" xfId="7" applyFont="1" applyBorder="1" applyAlignment="1">
      <alignment horizontal="right"/>
    </xf>
    <xf numFmtId="0" fontId="63" fillId="0" borderId="5" xfId="7" applyBorder="1"/>
    <xf numFmtId="0" fontId="28" fillId="0" borderId="5" xfId="7" applyFont="1" applyBorder="1" applyAlignment="1">
      <alignment horizontal="left" vertical="top"/>
    </xf>
    <xf numFmtId="0" fontId="28" fillId="0" borderId="5" xfId="0" applyFont="1" applyBorder="1" applyAlignment="1">
      <alignment horizontal="left"/>
    </xf>
    <xf numFmtId="165" fontId="28" fillId="0" borderId="5" xfId="0" applyNumberFormat="1" applyFont="1" applyBorder="1" applyAlignment="1">
      <alignment horizontal="right"/>
    </xf>
    <xf numFmtId="17" fontId="28" fillId="0" borderId="5" xfId="7" applyNumberFormat="1" applyFont="1" applyBorder="1" applyAlignment="1">
      <alignment horizontal="center" vertical="top"/>
    </xf>
    <xf numFmtId="17" fontId="28" fillId="0" borderId="5" xfId="7" applyNumberFormat="1" applyFont="1" applyBorder="1" applyAlignment="1">
      <alignment horizontal="center"/>
    </xf>
    <xf numFmtId="17" fontId="28" fillId="0" borderId="17" xfId="7" applyNumberFormat="1" applyFont="1" applyBorder="1" applyAlignment="1">
      <alignment horizontal="center"/>
    </xf>
    <xf numFmtId="0" fontId="28" fillId="0" borderId="5" xfId="7" applyFont="1" applyBorder="1" applyAlignment="1">
      <alignment horizontal="left" vertical="center"/>
    </xf>
    <xf numFmtId="165" fontId="28" fillId="0" borderId="5" xfId="7" applyNumberFormat="1" applyFont="1" applyBorder="1" applyAlignment="1">
      <alignment horizontal="right" vertical="center"/>
    </xf>
    <xf numFmtId="17" fontId="28" fillId="0" borderId="5" xfId="0" applyNumberFormat="1" applyFont="1" applyBorder="1" applyAlignment="1">
      <alignment horizontal="center"/>
    </xf>
    <xf numFmtId="165" fontId="28" fillId="0" borderId="5" xfId="7" applyNumberFormat="1" applyFont="1" applyBorder="1" applyAlignment="1">
      <alignment horizontal="right"/>
    </xf>
    <xf numFmtId="0" fontId="28" fillId="0" borderId="5" xfId="14" applyFont="1" applyBorder="1" applyAlignment="1">
      <alignment horizontal="left" vertical="top" wrapText="1"/>
    </xf>
    <xf numFmtId="0" fontId="11" fillId="0" borderId="5" xfId="0" applyFont="1" applyBorder="1" applyAlignment="1">
      <alignment horizontal="left" vertical="center"/>
    </xf>
    <xf numFmtId="0" fontId="175" fillId="4" borderId="5" xfId="0" applyFont="1" applyFill="1" applyBorder="1" applyAlignment="1">
      <alignment horizontal="left" vertical="top" wrapText="1"/>
    </xf>
    <xf numFmtId="0" fontId="176" fillId="4" borderId="5" xfId="0" applyFont="1" applyFill="1" applyBorder="1" applyAlignment="1">
      <alignment horizontal="left" vertical="top" wrapText="1"/>
    </xf>
    <xf numFmtId="0" fontId="177" fillId="4" borderId="5" xfId="0" applyFont="1" applyFill="1" applyBorder="1" applyAlignment="1">
      <alignment horizontal="left" vertical="top" wrapText="1"/>
    </xf>
    <xf numFmtId="0" fontId="136" fillId="4" borderId="17" xfId="0" applyFont="1" applyFill="1" applyBorder="1"/>
    <xf numFmtId="0" fontId="178" fillId="4" borderId="5" xfId="0" applyFont="1" applyFill="1" applyBorder="1"/>
    <xf numFmtId="0" fontId="178" fillId="4" borderId="17" xfId="0" applyFont="1" applyFill="1" applyBorder="1"/>
    <xf numFmtId="0" fontId="175" fillId="4" borderId="5" xfId="0" applyFont="1" applyFill="1" applyBorder="1"/>
    <xf numFmtId="0" fontId="175" fillId="4" borderId="25" xfId="0" applyFont="1" applyFill="1" applyBorder="1" applyAlignment="1">
      <alignment horizontal="left"/>
    </xf>
    <xf numFmtId="0" fontId="136" fillId="4" borderId="17" xfId="0" applyFont="1" applyFill="1" applyBorder="1" applyAlignment="1">
      <alignment wrapText="1"/>
    </xf>
    <xf numFmtId="0" fontId="179" fillId="4" borderId="5" xfId="0" applyFont="1" applyFill="1" applyBorder="1" applyAlignment="1">
      <alignment vertical="top" wrapText="1"/>
    </xf>
    <xf numFmtId="0" fontId="177" fillId="4" borderId="5" xfId="0" applyFont="1" applyFill="1" applyBorder="1" applyAlignment="1">
      <alignment wrapText="1"/>
    </xf>
    <xf numFmtId="0" fontId="180" fillId="0" borderId="5" xfId="0" applyFont="1" applyBorder="1" applyAlignment="1">
      <alignment wrapText="1"/>
    </xf>
    <xf numFmtId="0" fontId="180" fillId="0" borderId="5" xfId="0" applyFont="1" applyBorder="1" applyAlignment="1">
      <alignment horizontal="left" vertical="top" wrapText="1"/>
    </xf>
    <xf numFmtId="0" fontId="175" fillId="4" borderId="5" xfId="0" applyFont="1" applyFill="1" applyBorder="1" applyAlignment="1">
      <alignment horizontal="left" vertical="top"/>
    </xf>
    <xf numFmtId="0" fontId="63" fillId="0" borderId="10" xfId="0" applyFont="1" applyBorder="1" applyAlignment="1">
      <alignment wrapText="1"/>
    </xf>
    <xf numFmtId="2" fontId="179" fillId="4" borderId="5" xfId="0" applyNumberFormat="1" applyFont="1" applyFill="1" applyBorder="1" applyAlignment="1">
      <alignment vertical="top"/>
    </xf>
    <xf numFmtId="0" fontId="175" fillId="4" borderId="0" xfId="0" applyFont="1" applyFill="1"/>
    <xf numFmtId="0" fontId="176" fillId="4" borderId="5" xfId="0" applyFont="1" applyFill="1" applyBorder="1"/>
    <xf numFmtId="0" fontId="137" fillId="4" borderId="17" xfId="0" applyFont="1" applyFill="1" applyBorder="1"/>
    <xf numFmtId="0" fontId="181" fillId="0" borderId="26" xfId="7" applyFont="1" applyBorder="1" applyAlignment="1">
      <alignment vertical="center" wrapText="1"/>
    </xf>
    <xf numFmtId="0" fontId="144" fillId="4" borderId="26" xfId="0" applyFont="1" applyFill="1" applyBorder="1"/>
    <xf numFmtId="0" fontId="137" fillId="4" borderId="26" xfId="0" applyFont="1" applyFill="1" applyBorder="1"/>
    <xf numFmtId="0" fontId="14" fillId="0" borderId="5" xfId="0" applyFont="1" applyBorder="1"/>
    <xf numFmtId="0" fontId="178" fillId="0" borderId="10" xfId="0" applyFont="1" applyBorder="1" applyAlignment="1">
      <alignment wrapText="1"/>
    </xf>
    <xf numFmtId="0" fontId="175" fillId="4" borderId="17" xfId="0" applyFont="1" applyFill="1" applyBorder="1"/>
    <xf numFmtId="0" fontId="14" fillId="0" borderId="26" xfId="0" applyFont="1" applyBorder="1"/>
    <xf numFmtId="0" fontId="137" fillId="4" borderId="5" xfId="0" applyFont="1" applyFill="1" applyBorder="1" applyAlignment="1">
      <alignment horizontal="left" vertical="top" wrapText="1"/>
    </xf>
    <xf numFmtId="0" fontId="137" fillId="4" borderId="17" xfId="0" applyFont="1" applyFill="1" applyBorder="1" applyAlignment="1">
      <alignment horizontal="left" vertical="top" wrapText="1"/>
    </xf>
    <xf numFmtId="0" fontId="181" fillId="0" borderId="5" xfId="0" applyFont="1" applyBorder="1" applyAlignment="1">
      <alignment vertical="center" wrapText="1"/>
    </xf>
    <xf numFmtId="0" fontId="181" fillId="0" borderId="5" xfId="0" applyFont="1" applyBorder="1" applyAlignment="1">
      <alignment horizontal="center" vertical="center"/>
    </xf>
    <xf numFmtId="0" fontId="181" fillId="0" borderId="5" xfId="0" applyFont="1" applyBorder="1" applyAlignment="1">
      <alignment horizontal="right"/>
    </xf>
    <xf numFmtId="0" fontId="20" fillId="0" borderId="5" xfId="74" applyFont="1" applyBorder="1" applyAlignment="1">
      <alignment vertical="center" wrapText="1"/>
    </xf>
    <xf numFmtId="0" fontId="137" fillId="4" borderId="5" xfId="0" applyFont="1" applyFill="1" applyBorder="1" applyAlignment="1">
      <alignment wrapText="1"/>
    </xf>
    <xf numFmtId="0" fontId="137" fillId="4" borderId="5" xfId="7" applyFont="1" applyFill="1" applyBorder="1"/>
    <xf numFmtId="2" fontId="137" fillId="4" borderId="5" xfId="0" applyNumberFormat="1" applyFont="1" applyFill="1" applyBorder="1" applyAlignment="1">
      <alignment vertical="top"/>
    </xf>
    <xf numFmtId="0" fontId="182" fillId="0" borderId="10" xfId="0" applyFont="1" applyBorder="1" applyAlignment="1">
      <alignment wrapText="1"/>
    </xf>
    <xf numFmtId="0" fontId="137" fillId="4" borderId="0" xfId="0" applyFont="1" applyFill="1" applyAlignment="1">
      <alignment horizontal="left" vertical="top" wrapText="1"/>
    </xf>
    <xf numFmtId="0" fontId="0" fillId="0" borderId="0" xfId="0" applyAlignment="1">
      <alignment vertical="center"/>
    </xf>
    <xf numFmtId="0" fontId="34" fillId="0" borderId="0" xfId="0" applyFont="1" applyBorder="1" applyAlignment="1">
      <alignment vertical="center"/>
    </xf>
    <xf numFmtId="1" fontId="15" fillId="0" borderId="0" xfId="0" applyNumberFormat="1" applyFont="1" applyBorder="1" applyAlignment="1">
      <alignment vertical="center"/>
    </xf>
    <xf numFmtId="1" fontId="63" fillId="0" borderId="0" xfId="0" applyNumberFormat="1" applyFont="1" applyBorder="1"/>
    <xf numFmtId="0" fontId="69" fillId="0" borderId="0" xfId="0" applyFont="1" applyBorder="1" applyAlignment="1">
      <alignment vertical="center"/>
    </xf>
    <xf numFmtId="1" fontId="35" fillId="0" borderId="0" xfId="0" applyNumberFormat="1" applyFont="1" applyBorder="1" applyAlignment="1">
      <alignment vertical="center"/>
    </xf>
    <xf numFmtId="1" fontId="35" fillId="0" borderId="0" xfId="0" applyNumberFormat="1" applyFont="1" applyBorder="1"/>
    <xf numFmtId="0" fontId="0" fillId="0" borderId="0" xfId="0" applyBorder="1"/>
    <xf numFmtId="1" fontId="34" fillId="0" borderId="0" xfId="0" applyNumberFormat="1" applyFont="1" applyBorder="1" applyAlignment="1">
      <alignment horizontal="center" vertical="center" wrapText="1"/>
    </xf>
    <xf numFmtId="1" fontId="34" fillId="0" borderId="0" xfId="0" applyNumberFormat="1" applyFont="1" applyBorder="1" applyAlignment="1">
      <alignment vertical="center" wrapText="1"/>
    </xf>
    <xf numFmtId="49" fontId="35" fillId="0" borderId="0" xfId="0" applyNumberFormat="1" applyFont="1" applyBorder="1" applyAlignment="1">
      <alignment horizontal="center" vertical="center"/>
    </xf>
    <xf numFmtId="1" fontId="69" fillId="0" borderId="0" xfId="0" applyNumberFormat="1" applyFont="1" applyBorder="1"/>
    <xf numFmtId="1" fontId="79" fillId="0" borderId="0" xfId="0" applyNumberFormat="1" applyFont="1" applyBorder="1" applyAlignment="1">
      <alignment horizontal="left" vertical="center" wrapText="1"/>
    </xf>
    <xf numFmtId="1" fontId="80" fillId="0" borderId="0" xfId="0" applyNumberFormat="1" applyFont="1" applyBorder="1" applyAlignment="1">
      <alignment horizontal="right" vertical="center" wrapText="1"/>
    </xf>
    <xf numFmtId="2" fontId="15" fillId="0" borderId="0" xfId="1" applyNumberFormat="1" applyFont="1" applyBorder="1" applyAlignment="1">
      <alignment horizontal="center" vertical="center" wrapText="1"/>
    </xf>
    <xf numFmtId="1" fontId="15" fillId="0" borderId="0" xfId="1" applyNumberFormat="1" applyFont="1" applyBorder="1" applyAlignment="1">
      <alignment vertical="center" wrapText="1"/>
    </xf>
    <xf numFmtId="0" fontId="45" fillId="0" borderId="0" xfId="0" applyFont="1" applyBorder="1"/>
    <xf numFmtId="0" fontId="45" fillId="0" borderId="0" xfId="0" applyFont="1" applyBorder="1" applyAlignment="1">
      <alignment horizontal="center"/>
    </xf>
    <xf numFmtId="2" fontId="45" fillId="0" borderId="0" xfId="0" applyNumberFormat="1" applyFont="1" applyBorder="1"/>
    <xf numFmtId="0" fontId="12" fillId="3" borderId="0" xfId="0" applyFont="1" applyFill="1" applyBorder="1"/>
    <xf numFmtId="0" fontId="12" fillId="3" borderId="0" xfId="0" applyFont="1" applyFill="1" applyBorder="1" applyAlignment="1">
      <alignment horizontal="left"/>
    </xf>
    <xf numFmtId="165" fontId="12" fillId="3" borderId="0" xfId="0" applyNumberFormat="1" applyFont="1" applyFill="1" applyBorder="1" applyAlignment="1">
      <alignment horizontal="right"/>
    </xf>
    <xf numFmtId="0" fontId="54" fillId="0" borderId="0" xfId="0" applyFont="1" applyBorder="1"/>
    <xf numFmtId="0" fontId="41" fillId="0" borderId="0" xfId="0" applyFont="1" applyBorder="1" applyAlignment="1">
      <alignment horizontal="center"/>
    </xf>
    <xf numFmtId="0" fontId="42" fillId="0" borderId="0" xfId="0" applyFont="1" applyBorder="1" applyAlignment="1">
      <alignment horizontal="left" wrapText="1"/>
    </xf>
    <xf numFmtId="0" fontId="9" fillId="0" borderId="0" xfId="0" applyFont="1" applyBorder="1" applyAlignment="1">
      <alignment vertical="center" wrapText="1"/>
    </xf>
    <xf numFmtId="0" fontId="43" fillId="0" borderId="0" xfId="0" applyFont="1" applyBorder="1" applyAlignment="1">
      <alignment vertical="center" wrapText="1"/>
    </xf>
    <xf numFmtId="2" fontId="11" fillId="0" borderId="0" xfId="0" applyNumberFormat="1" applyFont="1" applyAlignment="1"/>
    <xf numFmtId="0" fontId="6" fillId="0" borderId="60" xfId="0" applyFont="1" applyBorder="1" applyAlignment="1">
      <alignment horizontal="center"/>
    </xf>
    <xf numFmtId="0" fontId="6" fillId="0" borderId="0" xfId="0" applyFont="1" applyBorder="1"/>
    <xf numFmtId="0" fontId="6" fillId="0" borderId="59" xfId="0" applyFont="1" applyBorder="1" applyAlignment="1">
      <alignment horizontal="center"/>
    </xf>
    <xf numFmtId="0" fontId="6" fillId="0" borderId="25" xfId="0" applyFont="1" applyBorder="1" applyAlignment="1">
      <alignment horizontal="center"/>
    </xf>
    <xf numFmtId="0" fontId="6" fillId="0" borderId="69" xfId="0" applyFont="1" applyBorder="1"/>
    <xf numFmtId="0" fontId="14" fillId="0" borderId="0" xfId="0" applyFont="1" applyBorder="1"/>
    <xf numFmtId="1" fontId="34" fillId="0" borderId="0" xfId="0" applyNumberFormat="1" applyFont="1" applyBorder="1" applyAlignment="1">
      <alignment vertical="center"/>
    </xf>
    <xf numFmtId="1" fontId="80" fillId="0" borderId="0" xfId="0" applyNumberFormat="1" applyFont="1" applyBorder="1" applyAlignment="1">
      <alignment vertical="center" wrapText="1"/>
    </xf>
    <xf numFmtId="0" fontId="11" fillId="0" borderId="0" xfId="0" applyFont="1" applyBorder="1"/>
    <xf numFmtId="2" fontId="11" fillId="0" borderId="0" xfId="0" applyNumberFormat="1" applyFont="1" applyBorder="1"/>
    <xf numFmtId="0" fontId="61" fillId="0" borderId="0" xfId="0" applyFont="1" applyAlignment="1">
      <alignment horizontal="center"/>
    </xf>
    <xf numFmtId="0" fontId="61" fillId="0" borderId="5" xfId="0" applyFont="1" applyBorder="1" applyAlignment="1">
      <alignment horizontal="center"/>
    </xf>
    <xf numFmtId="0" fontId="137" fillId="0" borderId="0" xfId="0" applyFont="1"/>
    <xf numFmtId="0" fontId="19" fillId="0" borderId="5" xfId="0" applyFont="1" applyBorder="1" applyAlignment="1">
      <alignment horizontal="center"/>
    </xf>
    <xf numFmtId="0" fontId="19" fillId="0" borderId="5" xfId="0" applyFont="1" applyBorder="1"/>
    <xf numFmtId="0" fontId="185" fillId="4" borderId="5" xfId="0" applyFont="1" applyFill="1" applyBorder="1" applyAlignment="1">
      <alignment horizontal="left" wrapText="1"/>
    </xf>
    <xf numFmtId="0" fontId="21" fillId="0" borderId="5" xfId="0" applyFont="1" applyBorder="1"/>
    <xf numFmtId="0" fontId="21" fillId="0" borderId="5" xfId="0" applyFont="1" applyBorder="1" applyAlignment="1">
      <alignment wrapText="1"/>
    </xf>
    <xf numFmtId="0" fontId="185" fillId="4" borderId="5" xfId="0" applyFont="1" applyFill="1" applyBorder="1" applyAlignment="1">
      <alignment horizontal="right" wrapText="1"/>
    </xf>
    <xf numFmtId="0" fontId="19" fillId="0" borderId="0" xfId="0" applyFont="1"/>
    <xf numFmtId="0" fontId="21" fillId="0" borderId="5" xfId="0" applyFont="1" applyBorder="1" applyAlignment="1">
      <alignment horizontal="center"/>
    </xf>
    <xf numFmtId="0" fontId="137" fillId="4" borderId="5" xfId="0" applyFont="1" applyFill="1" applyBorder="1" applyAlignment="1">
      <alignment horizontal="left" vertical="center" wrapText="1"/>
    </xf>
    <xf numFmtId="0" fontId="21" fillId="0" borderId="5" xfId="0" applyFont="1" applyBorder="1" applyAlignment="1">
      <alignment horizontal="right"/>
    </xf>
    <xf numFmtId="0" fontId="137" fillId="4" borderId="5" xfId="0" applyFont="1" applyFill="1" applyBorder="1" applyAlignment="1">
      <alignment horizontal="right" vertical="center" wrapText="1"/>
    </xf>
    <xf numFmtId="0" fontId="137" fillId="0" borderId="5" xfId="0" applyFont="1" applyBorder="1"/>
    <xf numFmtId="0" fontId="186" fillId="0" borderId="5" xfId="0" applyFont="1" applyBorder="1"/>
    <xf numFmtId="0" fontId="185" fillId="4" borderId="5" xfId="0" applyFont="1" applyFill="1" applyBorder="1" applyAlignment="1">
      <alignment horizontal="left" vertical="top" wrapText="1"/>
    </xf>
    <xf numFmtId="0" fontId="137" fillId="0" borderId="5" xfId="0" applyFont="1" applyBorder="1" applyAlignment="1">
      <alignment horizontal="right"/>
    </xf>
    <xf numFmtId="2" fontId="185" fillId="4" borderId="5" xfId="0" applyNumberFormat="1" applyFont="1" applyFill="1" applyBorder="1" applyAlignment="1">
      <alignment horizontal="right"/>
    </xf>
    <xf numFmtId="0" fontId="137" fillId="4" borderId="5" xfId="0" applyFont="1" applyFill="1" applyBorder="1" applyAlignment="1">
      <alignment horizontal="left" wrapText="1"/>
    </xf>
    <xf numFmtId="2" fontId="137" fillId="4" borderId="5" xfId="0" applyNumberFormat="1" applyFont="1" applyFill="1" applyBorder="1" applyAlignment="1">
      <alignment horizontal="right"/>
    </xf>
    <xf numFmtId="0" fontId="186" fillId="4" borderId="5" xfId="0" applyFont="1" applyFill="1" applyBorder="1" applyAlignment="1">
      <alignment horizontal="left" wrapText="1"/>
    </xf>
    <xf numFmtId="2" fontId="186" fillId="4" borderId="5" xfId="0" applyNumberFormat="1" applyFont="1" applyFill="1" applyBorder="1" applyAlignment="1">
      <alignment horizontal="right"/>
    </xf>
    <xf numFmtId="0" fontId="19" fillId="0" borderId="5" xfId="0" applyFont="1" applyBorder="1" applyAlignment="1">
      <alignment horizontal="left"/>
    </xf>
    <xf numFmtId="0" fontId="185" fillId="4" borderId="5" xfId="7" applyFont="1" applyFill="1" applyBorder="1" applyAlignment="1">
      <alignment horizontal="left" wrapText="1"/>
    </xf>
    <xf numFmtId="2" fontId="185" fillId="4" borderId="5" xfId="7" applyNumberFormat="1" applyFont="1" applyFill="1" applyBorder="1" applyAlignment="1">
      <alignment horizontal="right"/>
    </xf>
    <xf numFmtId="0" fontId="137" fillId="4" borderId="5" xfId="7" applyFont="1" applyFill="1" applyBorder="1" applyAlignment="1">
      <alignment horizontal="left" wrapText="1"/>
    </xf>
    <xf numFmtId="2" fontId="137" fillId="4" borderId="5" xfId="7" applyNumberFormat="1" applyFont="1" applyFill="1" applyBorder="1" applyAlignment="1">
      <alignment horizontal="right"/>
    </xf>
    <xf numFmtId="0" fontId="137" fillId="4" borderId="5" xfId="7" applyFont="1" applyFill="1" applyBorder="1" applyAlignment="1">
      <alignment horizontal="left" vertical="top" wrapText="1"/>
    </xf>
    <xf numFmtId="2" fontId="186" fillId="0" borderId="5" xfId="0" applyNumberFormat="1" applyFont="1" applyBorder="1"/>
    <xf numFmtId="0" fontId="187" fillId="0" borderId="0" xfId="0" applyFont="1"/>
    <xf numFmtId="0" fontId="188" fillId="0" borderId="0" xfId="0" applyFont="1"/>
    <xf numFmtId="0" fontId="188" fillId="0" borderId="5" xfId="0" applyFont="1" applyBorder="1" applyAlignment="1">
      <alignment horizontal="center"/>
    </xf>
    <xf numFmtId="0" fontId="188" fillId="0" borderId="5" xfId="0" applyFont="1" applyBorder="1"/>
    <xf numFmtId="0" fontId="24" fillId="0" borderId="5" xfId="0" applyFont="1" applyBorder="1" applyAlignment="1">
      <alignment horizontal="center"/>
    </xf>
    <xf numFmtId="0" fontId="188" fillId="0" borderId="0" xfId="0" applyFont="1" applyBorder="1"/>
    <xf numFmtId="0" fontId="24" fillId="0" borderId="5" xfId="0" applyFont="1" applyBorder="1"/>
    <xf numFmtId="2" fontId="188" fillId="0" borderId="5" xfId="0" applyNumberFormat="1" applyFont="1" applyBorder="1"/>
    <xf numFmtId="0" fontId="189" fillId="0" borderId="0" xfId="0" applyFont="1"/>
    <xf numFmtId="0" fontId="190" fillId="0" borderId="0" xfId="0" applyFont="1" applyAlignment="1">
      <alignment horizontal="center" vertical="top"/>
    </xf>
    <xf numFmtId="2" fontId="24" fillId="0" borderId="5" xfId="0" applyNumberFormat="1" applyFont="1" applyBorder="1" applyAlignment="1">
      <alignment horizontal="right"/>
    </xf>
    <xf numFmtId="2" fontId="0" fillId="0" borderId="5" xfId="0" applyNumberFormat="1" applyBorder="1"/>
    <xf numFmtId="0" fontId="34" fillId="0" borderId="0" xfId="0" applyFont="1" applyAlignment="1">
      <alignment horizontal="center" vertical="center"/>
    </xf>
    <xf numFmtId="0" fontId="0" fillId="0" borderId="0" xfId="0" applyAlignment="1">
      <alignment horizontal="center"/>
    </xf>
    <xf numFmtId="0" fontId="82" fillId="2" borderId="4" xfId="0" applyFont="1" applyFill="1" applyBorder="1" applyAlignment="1">
      <alignment horizontal="left" vertical="center"/>
    </xf>
    <xf numFmtId="0" fontId="82" fillId="2" borderId="5" xfId="0" applyFont="1" applyFill="1" applyBorder="1" applyAlignment="1">
      <alignment horizontal="left" vertical="center"/>
    </xf>
    <xf numFmtId="0" fontId="82" fillId="2" borderId="6" xfId="0" applyFont="1" applyFill="1" applyBorder="1" applyAlignment="1">
      <alignment horizontal="left" vertical="center"/>
    </xf>
    <xf numFmtId="2" fontId="15" fillId="0" borderId="0" xfId="0" applyNumberFormat="1" applyFont="1" applyAlignment="1">
      <alignment horizontal="center" vertical="center" wrapText="1"/>
    </xf>
    <xf numFmtId="0" fontId="15" fillId="0" borderId="0" xfId="0" applyFont="1" applyAlignment="1">
      <alignment horizontal="center"/>
    </xf>
    <xf numFmtId="0" fontId="83" fillId="2" borderId="32" xfId="0" applyFont="1" applyFill="1" applyBorder="1" applyAlignment="1">
      <alignment horizontal="left" vertical="center"/>
    </xf>
    <xf numFmtId="0" fontId="83" fillId="2" borderId="27" xfId="0" applyFont="1" applyFill="1" applyBorder="1" applyAlignment="1">
      <alignment horizontal="left" vertical="center"/>
    </xf>
    <xf numFmtId="0" fontId="83" fillId="2" borderId="39" xfId="0" applyFont="1" applyFill="1" applyBorder="1" applyAlignment="1">
      <alignment horizontal="left" vertical="center"/>
    </xf>
    <xf numFmtId="1" fontId="34" fillId="0" borderId="0" xfId="0" applyNumberFormat="1" applyFont="1" applyAlignment="1">
      <alignment horizontal="center" vertical="center"/>
    </xf>
    <xf numFmtId="2" fontId="15" fillId="0" borderId="0" xfId="0" applyNumberFormat="1" applyFont="1" applyAlignment="1">
      <alignment horizontal="right" vertical="center"/>
    </xf>
    <xf numFmtId="1" fontId="15" fillId="0" borderId="0" xfId="0" applyNumberFormat="1" applyFont="1" applyAlignment="1">
      <alignment horizontal="center"/>
    </xf>
    <xf numFmtId="1" fontId="15" fillId="0" borderId="4" xfId="0" applyNumberFormat="1" applyFont="1" applyBorder="1" applyAlignment="1">
      <alignment vertical="center" wrapText="1"/>
    </xf>
    <xf numFmtId="1" fontId="15" fillId="0" borderId="7" xfId="0" applyNumberFormat="1" applyFont="1" applyBorder="1" applyAlignment="1">
      <alignment vertical="center" wrapText="1"/>
    </xf>
    <xf numFmtId="1" fontId="63" fillId="0" borderId="17" xfId="0" applyNumberFormat="1" applyFont="1" applyBorder="1" applyAlignment="1">
      <alignment horizontal="center" vertical="center"/>
    </xf>
    <xf numFmtId="1" fontId="63" fillId="0" borderId="64" xfId="0" applyNumberFormat="1" applyFont="1" applyBorder="1" applyAlignment="1">
      <alignment horizontal="center" vertical="center"/>
    </xf>
    <xf numFmtId="1" fontId="15" fillId="0" borderId="17" xfId="0" applyNumberFormat="1" applyFont="1" applyBorder="1" applyAlignment="1">
      <alignment horizontal="right" vertical="center"/>
    </xf>
    <xf numFmtId="1" fontId="15" fillId="0" borderId="64" xfId="0" applyNumberFormat="1" applyFont="1" applyBorder="1" applyAlignment="1">
      <alignment horizontal="right" vertical="center"/>
    </xf>
    <xf numFmtId="1" fontId="15" fillId="0" borderId="34" xfId="0" applyNumberFormat="1" applyFont="1" applyBorder="1" applyAlignment="1">
      <alignment horizontal="right" vertical="center"/>
    </xf>
    <xf numFmtId="1" fontId="15" fillId="0" borderId="16" xfId="0" applyNumberFormat="1" applyFont="1" applyBorder="1" applyAlignment="1">
      <alignment horizontal="right" vertical="center"/>
    </xf>
    <xf numFmtId="0" fontId="82" fillId="0" borderId="0" xfId="0" applyFont="1" applyAlignment="1">
      <alignment horizontal="center" vertical="center"/>
    </xf>
    <xf numFmtId="0" fontId="83" fillId="0" borderId="0" xfId="0" applyFont="1" applyAlignment="1">
      <alignment horizontal="center" vertical="center"/>
    </xf>
    <xf numFmtId="0" fontId="88" fillId="0" borderId="10" xfId="0" applyFont="1" applyBorder="1" applyAlignment="1">
      <alignment horizontal="center" vertical="center"/>
    </xf>
    <xf numFmtId="0" fontId="112" fillId="0" borderId="19" xfId="0" applyFont="1" applyBorder="1" applyAlignment="1">
      <alignment horizontal="center" vertical="center"/>
    </xf>
    <xf numFmtId="0" fontId="12" fillId="0" borderId="0" xfId="7" applyFont="1" applyAlignment="1">
      <alignment horizontal="right" vertical="center"/>
    </xf>
    <xf numFmtId="0" fontId="88" fillId="0" borderId="17" xfId="0" applyFont="1" applyBorder="1" applyAlignment="1">
      <alignment horizontal="center" vertical="center"/>
    </xf>
    <xf numFmtId="0" fontId="88" fillId="0" borderId="26" xfId="0" applyFont="1" applyBorder="1" applyAlignment="1">
      <alignment horizontal="center" vertical="center"/>
    </xf>
    <xf numFmtId="0" fontId="82" fillId="0" borderId="21" xfId="7" applyFont="1" applyBorder="1" applyAlignment="1">
      <alignment horizontal="center" vertical="center"/>
    </xf>
    <xf numFmtId="0" fontId="82" fillId="0" borderId="40" xfId="7" applyFont="1" applyBorder="1" applyAlignment="1">
      <alignment horizontal="center" vertical="center"/>
    </xf>
    <xf numFmtId="0" fontId="82" fillId="0" borderId="52" xfId="7" applyFont="1" applyBorder="1" applyAlignment="1">
      <alignment horizontal="center" vertical="center"/>
    </xf>
    <xf numFmtId="0" fontId="86" fillId="0" borderId="0" xfId="7" applyFont="1" applyAlignment="1">
      <alignment horizontal="left" vertical="center" wrapText="1"/>
    </xf>
    <xf numFmtId="2" fontId="82" fillId="0" borderId="0" xfId="7" applyNumberFormat="1" applyFont="1" applyAlignment="1">
      <alignment horizontal="right" vertical="center"/>
    </xf>
    <xf numFmtId="0" fontId="82" fillId="2" borderId="2" xfId="0" applyFont="1" applyFill="1" applyBorder="1" applyAlignment="1">
      <alignment horizontal="center" vertical="center"/>
    </xf>
    <xf numFmtId="0" fontId="82" fillId="2" borderId="32" xfId="0" applyFont="1" applyFill="1" applyBorder="1" applyAlignment="1">
      <alignment horizontal="center" vertical="center" wrapText="1"/>
    </xf>
    <xf numFmtId="0" fontId="82" fillId="2" borderId="59" xfId="0" applyFont="1" applyFill="1" applyBorder="1" applyAlignment="1">
      <alignment horizontal="center" vertical="center" wrapText="1"/>
    </xf>
    <xf numFmtId="0" fontId="82" fillId="2" borderId="33" xfId="0" applyFont="1" applyFill="1" applyBorder="1" applyAlignment="1">
      <alignment horizontal="center" vertical="center" wrapText="1"/>
    </xf>
    <xf numFmtId="0" fontId="82" fillId="2" borderId="17" xfId="0" applyFont="1" applyFill="1" applyBorder="1" applyAlignment="1">
      <alignment horizontal="center" vertical="center" wrapText="1"/>
    </xf>
    <xf numFmtId="0" fontId="83" fillId="0" borderId="26" xfId="0" applyFont="1" applyBorder="1" applyAlignment="1">
      <alignment horizontal="center" vertical="center" wrapText="1"/>
    </xf>
    <xf numFmtId="0" fontId="82" fillId="2" borderId="27" xfId="0" applyFont="1" applyFill="1" applyBorder="1" applyAlignment="1">
      <alignment horizontal="center" vertical="center" wrapText="1"/>
    </xf>
    <xf numFmtId="0" fontId="83" fillId="0" borderId="25" xfId="0" applyFont="1" applyBorder="1" applyAlignment="1">
      <alignment horizontal="center" vertical="center" wrapText="1"/>
    </xf>
    <xf numFmtId="0" fontId="82" fillId="2" borderId="39" xfId="0" applyFont="1" applyFill="1" applyBorder="1" applyAlignment="1">
      <alignment horizontal="center" vertical="center" wrapText="1"/>
    </xf>
    <xf numFmtId="0" fontId="83" fillId="0" borderId="60" xfId="0" applyFont="1" applyBorder="1" applyAlignment="1">
      <alignment horizontal="center" vertical="center" wrapText="1"/>
    </xf>
    <xf numFmtId="0" fontId="83" fillId="0" borderId="35" xfId="0" applyFont="1" applyBorder="1" applyAlignment="1">
      <alignment horizontal="center" vertical="center" wrapText="1"/>
    </xf>
    <xf numFmtId="0" fontId="82" fillId="2" borderId="10" xfId="0" applyFont="1" applyFill="1" applyBorder="1" applyAlignment="1">
      <alignment horizontal="left" vertical="center"/>
    </xf>
    <xf numFmtId="0" fontId="82" fillId="2" borderId="11" xfId="0" applyFont="1" applyFill="1" applyBorder="1" applyAlignment="1">
      <alignment horizontal="left" vertical="center"/>
    </xf>
    <xf numFmtId="0" fontId="82" fillId="2" borderId="19" xfId="0" applyFont="1" applyFill="1" applyBorder="1" applyAlignment="1">
      <alignment horizontal="left" vertical="center"/>
    </xf>
    <xf numFmtId="0" fontId="82" fillId="3" borderId="5" xfId="0" applyFont="1" applyFill="1" applyBorder="1" applyAlignment="1">
      <alignment horizontal="center" vertical="center" wrapText="1"/>
    </xf>
    <xf numFmtId="0" fontId="82" fillId="0" borderId="5" xfId="0" applyFont="1" applyBorder="1" applyAlignment="1">
      <alignment horizontal="center" vertical="center" wrapText="1"/>
    </xf>
    <xf numFmtId="0" fontId="87" fillId="0" borderId="20" xfId="0" applyFont="1" applyBorder="1" applyAlignment="1">
      <alignment horizontal="right" vertical="center"/>
    </xf>
    <xf numFmtId="0" fontId="63" fillId="0" borderId="0" xfId="0" applyFont="1" applyAlignment="1">
      <alignment vertical="center" wrapText="1"/>
    </xf>
    <xf numFmtId="0" fontId="0" fillId="0" borderId="0" xfId="0" applyAlignment="1">
      <alignment vertical="center"/>
    </xf>
    <xf numFmtId="0" fontId="15" fillId="0" borderId="0" xfId="0" applyFont="1" applyAlignment="1">
      <alignment horizontal="right" vertical="center"/>
    </xf>
    <xf numFmtId="1" fontId="106" fillId="0" borderId="0" xfId="0" applyNumberFormat="1" applyFont="1" applyAlignment="1">
      <alignment vertical="center" wrapText="1"/>
    </xf>
    <xf numFmtId="0" fontId="0" fillId="0" borderId="0" xfId="0" applyAlignment="1">
      <alignment vertical="center" wrapText="1"/>
    </xf>
    <xf numFmtId="0" fontId="12" fillId="0" borderId="0" xfId="0" applyFont="1" applyAlignment="1">
      <alignment horizontal="center"/>
    </xf>
    <xf numFmtId="0" fontId="82" fillId="0" borderId="0" xfId="0" applyFont="1" applyAlignment="1">
      <alignment horizontal="center"/>
    </xf>
    <xf numFmtId="0" fontId="87" fillId="0" borderId="20" xfId="0" applyFont="1" applyBorder="1" applyAlignment="1">
      <alignment horizontal="right"/>
    </xf>
    <xf numFmtId="0" fontId="82" fillId="3" borderId="17" xfId="0" applyFont="1" applyFill="1" applyBorder="1" applyAlignment="1">
      <alignment horizontal="center" vertical="center" wrapText="1"/>
    </xf>
    <xf numFmtId="0" fontId="0" fillId="0" borderId="26" xfId="0" applyBorder="1" applyAlignment="1">
      <alignment horizontal="center" vertical="center" wrapText="1"/>
    </xf>
    <xf numFmtId="0" fontId="71" fillId="2" borderId="40" xfId="0" applyFont="1" applyFill="1" applyBorder="1" applyAlignment="1">
      <alignment horizontal="center" vertical="center" wrapText="1"/>
    </xf>
    <xf numFmtId="0" fontId="71" fillId="2" borderId="11" xfId="0" applyFont="1" applyFill="1" applyBorder="1"/>
    <xf numFmtId="0" fontId="71" fillId="2" borderId="5" xfId="0" applyFont="1" applyFill="1" applyBorder="1" applyAlignment="1">
      <alignment horizontal="center" vertical="center" wrapText="1"/>
    </xf>
    <xf numFmtId="0" fontId="0" fillId="0" borderId="5" xfId="0" applyBorder="1" applyAlignment="1">
      <alignment horizontal="center" vertical="center" wrapText="1"/>
    </xf>
    <xf numFmtId="0" fontId="71" fillId="2" borderId="17" xfId="0" applyFont="1" applyFill="1" applyBorder="1" applyAlignment="1">
      <alignment horizontal="center" vertical="center" wrapText="1"/>
    </xf>
    <xf numFmtId="0" fontId="0" fillId="0" borderId="25" xfId="0" applyBorder="1" applyAlignment="1">
      <alignment wrapText="1"/>
    </xf>
    <xf numFmtId="0" fontId="0" fillId="0" borderId="26" xfId="0" applyBorder="1" applyAlignment="1">
      <alignment wrapText="1"/>
    </xf>
    <xf numFmtId="0" fontId="15" fillId="2" borderId="17" xfId="0" applyFont="1" applyFill="1" applyBorder="1" applyAlignment="1">
      <alignment wrapText="1"/>
    </xf>
    <xf numFmtId="0" fontId="63" fillId="0" borderId="0" xfId="0" applyFont="1" applyAlignment="1">
      <alignment horizontal="center"/>
    </xf>
    <xf numFmtId="0" fontId="112" fillId="2" borderId="5" xfId="0" applyFont="1" applyFill="1" applyBorder="1" applyAlignment="1">
      <alignment horizontal="center" vertical="center" wrapText="1"/>
    </xf>
    <xf numFmtId="0" fontId="112" fillId="2" borderId="5" xfId="0" applyFont="1" applyFill="1" applyBorder="1" applyAlignment="1" applyProtection="1">
      <alignment horizontal="center" vertical="center" wrapText="1"/>
      <protection locked="0"/>
    </xf>
    <xf numFmtId="0" fontId="112" fillId="0" borderId="5" xfId="0" applyFont="1" applyBorder="1" applyAlignment="1">
      <alignment horizontal="center" vertical="center" wrapText="1"/>
    </xf>
    <xf numFmtId="0" fontId="135" fillId="0" borderId="0" xfId="0" applyFont="1" applyAlignment="1">
      <alignment horizontal="center" vertical="center"/>
    </xf>
    <xf numFmtId="0" fontId="82" fillId="2" borderId="5" xfId="0" applyFont="1" applyFill="1" applyBorder="1" applyAlignment="1">
      <alignment vertical="center"/>
    </xf>
    <xf numFmtId="0" fontId="82" fillId="2" borderId="5" xfId="0" applyFont="1" applyFill="1" applyBorder="1" applyAlignment="1">
      <alignment horizontal="center" vertical="center"/>
    </xf>
    <xf numFmtId="0" fontId="63" fillId="2" borderId="52" xfId="0" applyFont="1" applyFill="1" applyBorder="1" applyAlignment="1">
      <alignment horizontal="center" vertical="center" wrapText="1"/>
    </xf>
    <xf numFmtId="0" fontId="63" fillId="2" borderId="12" xfId="0" applyFont="1" applyFill="1" applyBorder="1"/>
    <xf numFmtId="0" fontId="88" fillId="2" borderId="42" xfId="0" applyFont="1" applyFill="1" applyBorder="1" applyAlignment="1">
      <alignment horizontal="center" vertical="center" wrapText="1"/>
    </xf>
    <xf numFmtId="0" fontId="88" fillId="2" borderId="33" xfId="0" applyFont="1" applyFill="1" applyBorder="1" applyAlignment="1">
      <alignment horizontal="center" vertical="center" wrapText="1"/>
    </xf>
    <xf numFmtId="0" fontId="88" fillId="2" borderId="5" xfId="0" applyFont="1" applyFill="1" applyBorder="1" applyAlignment="1">
      <alignment horizontal="center" vertical="center" wrapText="1"/>
    </xf>
    <xf numFmtId="0" fontId="88" fillId="2" borderId="17" xfId="0" applyFont="1" applyFill="1" applyBorder="1" applyAlignment="1" applyProtection="1">
      <alignment horizontal="center" vertical="center" wrapText="1"/>
      <protection locked="0"/>
    </xf>
    <xf numFmtId="0" fontId="88" fillId="2" borderId="26" xfId="0" applyFont="1" applyFill="1" applyBorder="1" applyAlignment="1">
      <alignment horizontal="center" vertical="center" wrapText="1"/>
    </xf>
    <xf numFmtId="0" fontId="88" fillId="0" borderId="5" xfId="0" applyFont="1" applyBorder="1" applyAlignment="1">
      <alignment horizontal="center" vertical="center" wrapText="1"/>
    </xf>
    <xf numFmtId="0" fontId="69" fillId="0" borderId="0" xfId="0" applyFont="1" applyAlignment="1">
      <alignment horizontal="center" vertical="center"/>
    </xf>
    <xf numFmtId="0" fontId="72" fillId="0" borderId="36" xfId="0" applyFont="1" applyBorder="1" applyAlignment="1">
      <alignment horizontal="right" vertical="center"/>
    </xf>
    <xf numFmtId="0" fontId="72" fillId="0" borderId="0" xfId="0" applyFont="1" applyAlignment="1">
      <alignment horizontal="right" vertical="center"/>
    </xf>
    <xf numFmtId="0" fontId="82" fillId="2" borderId="37" xfId="0" applyFont="1" applyFill="1" applyBorder="1" applyAlignment="1">
      <alignment horizontal="center" vertical="center"/>
    </xf>
    <xf numFmtId="0" fontId="82" fillId="2" borderId="40" xfId="0" applyFont="1" applyFill="1" applyBorder="1" applyAlignment="1">
      <alignment horizontal="center" vertical="center"/>
    </xf>
    <xf numFmtId="0" fontId="82" fillId="2" borderId="41" xfId="0" applyFont="1" applyFill="1" applyBorder="1" applyAlignment="1">
      <alignment horizontal="center" vertical="center"/>
    </xf>
    <xf numFmtId="0" fontId="88" fillId="2" borderId="5" xfId="0" applyFont="1" applyFill="1" applyBorder="1" applyAlignment="1" applyProtection="1">
      <alignment horizontal="center" vertical="center" wrapText="1"/>
      <protection locked="0"/>
    </xf>
    <xf numFmtId="0" fontId="72" fillId="0" borderId="0" xfId="0" applyFont="1" applyAlignment="1">
      <alignment horizontal="center" vertical="center"/>
    </xf>
    <xf numFmtId="0" fontId="88" fillId="2" borderId="5" xfId="0" applyFont="1" applyFill="1" applyBorder="1" applyAlignment="1">
      <alignment horizontal="center" vertical="top" wrapText="1"/>
    </xf>
    <xf numFmtId="0" fontId="88" fillId="2" borderId="5" xfId="0" applyFont="1" applyFill="1" applyBorder="1" applyAlignment="1" applyProtection="1">
      <alignment horizontal="center" vertical="top" wrapText="1"/>
      <protection locked="0"/>
    </xf>
    <xf numFmtId="0" fontId="88" fillId="0" borderId="5" xfId="0" applyFont="1" applyBorder="1" applyAlignment="1">
      <alignment horizontal="center" vertical="top" wrapText="1"/>
    </xf>
    <xf numFmtId="0" fontId="88" fillId="2" borderId="12" xfId="0" applyFont="1" applyFill="1" applyBorder="1" applyAlignment="1">
      <alignment horizontal="center" vertical="top" wrapText="1"/>
    </xf>
    <xf numFmtId="0" fontId="69" fillId="2" borderId="52" xfId="0" applyFont="1" applyFill="1" applyBorder="1" applyAlignment="1">
      <alignment horizontal="center" vertical="center" wrapText="1"/>
    </xf>
    <xf numFmtId="0" fontId="69" fillId="2" borderId="12" xfId="0" applyFont="1" applyFill="1" applyBorder="1"/>
    <xf numFmtId="0" fontId="69" fillId="2" borderId="5" xfId="0" applyFont="1" applyFill="1" applyBorder="1" applyAlignment="1">
      <alignment horizontal="center" vertical="center" wrapText="1"/>
    </xf>
    <xf numFmtId="0" fontId="69" fillId="2" borderId="5" xfId="0" applyFont="1" applyFill="1" applyBorder="1" applyAlignment="1" applyProtection="1">
      <alignment horizontal="center" vertical="center" wrapText="1"/>
      <protection locked="0"/>
    </xf>
    <xf numFmtId="0" fontId="69" fillId="0" borderId="5" xfId="0" applyFont="1" applyBorder="1" applyAlignment="1">
      <alignment horizontal="center" vertical="center" wrapText="1"/>
    </xf>
    <xf numFmtId="0" fontId="69" fillId="2" borderId="15" xfId="0" applyFont="1" applyFill="1" applyBorder="1" applyAlignment="1">
      <alignment horizontal="center" vertical="center" wrapText="1"/>
    </xf>
    <xf numFmtId="0" fontId="69" fillId="2" borderId="55" xfId="0" applyFont="1" applyFill="1" applyBorder="1" applyAlignment="1">
      <alignment horizontal="center" vertical="center" wrapText="1"/>
    </xf>
    <xf numFmtId="0" fontId="94" fillId="0" borderId="0" xfId="0" applyFont="1" applyAlignment="1">
      <alignment horizontal="right" vertical="center"/>
    </xf>
    <xf numFmtId="0" fontId="69" fillId="2" borderId="5" xfId="0" applyFont="1" applyFill="1" applyBorder="1" applyAlignment="1">
      <alignment horizontal="center" vertical="center"/>
    </xf>
    <xf numFmtId="0" fontId="82" fillId="2" borderId="42" xfId="0" applyFont="1" applyFill="1" applyBorder="1" applyAlignment="1">
      <alignment horizontal="center" vertical="center" wrapText="1"/>
    </xf>
    <xf numFmtId="0" fontId="82" fillId="2" borderId="5" xfId="0" applyFont="1" applyFill="1" applyBorder="1" applyAlignment="1">
      <alignment horizontal="center" vertical="center" wrapText="1"/>
    </xf>
    <xf numFmtId="0" fontId="82" fillId="2" borderId="17" xfId="0" applyFont="1" applyFill="1" applyBorder="1" applyAlignment="1" applyProtection="1">
      <alignment horizontal="center" vertical="center" wrapText="1"/>
      <protection locked="0"/>
    </xf>
    <xf numFmtId="0" fontId="82" fillId="2" borderId="26" xfId="0" applyFont="1" applyFill="1" applyBorder="1" applyAlignment="1">
      <alignment horizontal="center" vertical="center" wrapText="1"/>
    </xf>
    <xf numFmtId="0" fontId="82" fillId="2" borderId="6" xfId="0" applyFont="1" applyFill="1" applyBorder="1" applyAlignment="1">
      <alignment horizontal="center" vertical="center" wrapText="1"/>
    </xf>
    <xf numFmtId="0" fontId="34" fillId="2" borderId="37" xfId="0" applyFont="1" applyFill="1" applyBorder="1" applyAlignment="1">
      <alignment horizontal="center" vertical="center"/>
    </xf>
    <xf numFmtId="0" fontId="34" fillId="2" borderId="40" xfId="0" applyFont="1" applyFill="1" applyBorder="1" applyAlignment="1">
      <alignment horizontal="center" vertical="center"/>
    </xf>
    <xf numFmtId="0" fontId="34" fillId="2" borderId="41" xfId="0" applyFont="1" applyFill="1" applyBorder="1" applyAlignment="1">
      <alignment horizontal="center" vertical="center"/>
    </xf>
    <xf numFmtId="0" fontId="78" fillId="3" borderId="42" xfId="0" applyFont="1" applyFill="1" applyBorder="1" applyAlignment="1">
      <alignment horizontal="center" vertical="center" wrapText="1"/>
    </xf>
    <xf numFmtId="0" fontId="78" fillId="3" borderId="33" xfId="0" applyFont="1" applyFill="1" applyBorder="1" applyAlignment="1">
      <alignment horizontal="center" vertical="center" wrapText="1"/>
    </xf>
    <xf numFmtId="0" fontId="78" fillId="3" borderId="5" xfId="0" applyFont="1" applyFill="1" applyBorder="1" applyAlignment="1">
      <alignment horizontal="center" vertical="center" wrapText="1"/>
    </xf>
    <xf numFmtId="0" fontId="78" fillId="3" borderId="17" xfId="0" applyFont="1" applyFill="1" applyBorder="1" applyAlignment="1" applyProtection="1">
      <alignment horizontal="center" vertical="center" wrapText="1"/>
      <protection locked="0"/>
    </xf>
    <xf numFmtId="0" fontId="78" fillId="3" borderId="26" xfId="0" applyFont="1" applyFill="1" applyBorder="1" applyAlignment="1">
      <alignment horizontal="center" vertical="center" wrapText="1"/>
    </xf>
    <xf numFmtId="0" fontId="78" fillId="0" borderId="5" xfId="0" applyFont="1" applyBorder="1" applyAlignment="1">
      <alignment horizontal="center" vertical="center" wrapText="1"/>
    </xf>
    <xf numFmtId="0" fontId="78" fillId="3" borderId="6" xfId="0" applyFont="1" applyFill="1" applyBorder="1" applyAlignment="1">
      <alignment horizontal="center" vertical="center" wrapText="1"/>
    </xf>
    <xf numFmtId="0" fontId="88" fillId="0" borderId="0" xfId="0" applyFont="1" applyAlignment="1">
      <alignment horizontal="center"/>
    </xf>
    <xf numFmtId="0" fontId="59" fillId="0" borderId="36" xfId="0" applyFont="1" applyBorder="1" applyAlignment="1">
      <alignment horizontal="right"/>
    </xf>
    <xf numFmtId="0" fontId="78" fillId="3" borderId="37" xfId="0" applyFont="1" applyFill="1" applyBorder="1" applyAlignment="1">
      <alignment horizontal="center"/>
    </xf>
    <xf numFmtId="0" fontId="78" fillId="3" borderId="40" xfId="0" applyFont="1" applyFill="1" applyBorder="1" applyAlignment="1">
      <alignment horizontal="center"/>
    </xf>
    <xf numFmtId="0" fontId="78" fillId="3" borderId="41" xfId="0" applyFont="1" applyFill="1" applyBorder="1" applyAlignment="1">
      <alignment horizontal="center"/>
    </xf>
    <xf numFmtId="1" fontId="82" fillId="0" borderId="0" xfId="0" applyNumberFormat="1" applyFont="1" applyAlignment="1">
      <alignment horizontal="center" vertical="center"/>
    </xf>
    <xf numFmtId="1" fontId="94" fillId="0" borderId="36" xfId="0" applyNumberFormat="1" applyFont="1" applyBorder="1" applyAlignment="1">
      <alignment horizontal="right" vertical="center"/>
    </xf>
    <xf numFmtId="0" fontId="99" fillId="0" borderId="10" xfId="0" applyFont="1" applyBorder="1" applyAlignment="1">
      <alignment horizontal="left" vertical="center"/>
    </xf>
    <xf numFmtId="0" fontId="99" fillId="0" borderId="11" xfId="0" applyFont="1" applyBorder="1" applyAlignment="1">
      <alignment horizontal="left" vertical="center"/>
    </xf>
    <xf numFmtId="0" fontId="99" fillId="0" borderId="19" xfId="0" applyFont="1" applyBorder="1" applyAlignment="1">
      <alignment horizontal="left" vertical="center"/>
    </xf>
    <xf numFmtId="0" fontId="83" fillId="0" borderId="0" xfId="0" applyFont="1" applyAlignment="1">
      <alignment horizontal="left" vertical="center"/>
    </xf>
    <xf numFmtId="0" fontId="129" fillId="0" borderId="10" xfId="0" applyFont="1" applyBorder="1" applyAlignment="1">
      <alignment horizontal="left" vertical="center"/>
    </xf>
    <xf numFmtId="0" fontId="129" fillId="0" borderId="11" xfId="0" applyFont="1" applyBorder="1" applyAlignment="1">
      <alignment horizontal="left" vertical="center"/>
    </xf>
    <xf numFmtId="0" fontId="129" fillId="0" borderId="19" xfId="0" applyFont="1" applyBorder="1" applyAlignment="1">
      <alignment horizontal="left" vertical="center"/>
    </xf>
    <xf numFmtId="0" fontId="99" fillId="6" borderId="10" xfId="0" applyFont="1" applyFill="1" applyBorder="1" applyAlignment="1">
      <alignment vertical="center" wrapText="1"/>
    </xf>
    <xf numFmtId="0" fontId="99" fillId="6" borderId="11" xfId="0" applyFont="1" applyFill="1" applyBorder="1" applyAlignment="1">
      <alignment vertical="center" wrapText="1"/>
    </xf>
    <xf numFmtId="0" fontId="99" fillId="6" borderId="19" xfId="0" applyFont="1" applyFill="1" applyBorder="1" applyAlignment="1">
      <alignment vertical="center" wrapText="1"/>
    </xf>
    <xf numFmtId="0" fontId="82" fillId="0" borderId="10" xfId="0" applyFont="1" applyBorder="1" applyAlignment="1">
      <alignment horizontal="center" vertical="center"/>
    </xf>
    <xf numFmtId="0" fontId="82" fillId="0" borderId="11" xfId="0" applyFont="1" applyBorder="1" applyAlignment="1">
      <alignment horizontal="center" vertical="center"/>
    </xf>
    <xf numFmtId="0" fontId="82" fillId="0" borderId="19" xfId="0" applyFont="1" applyBorder="1" applyAlignment="1">
      <alignment horizontal="center" vertical="center"/>
    </xf>
    <xf numFmtId="0" fontId="127" fillId="6" borderId="10" xfId="0" applyFont="1" applyFill="1" applyBorder="1" applyAlignment="1">
      <alignment horizontal="left" vertical="center"/>
    </xf>
    <xf numFmtId="0" fontId="127" fillId="6" borderId="11" xfId="0" applyFont="1" applyFill="1" applyBorder="1" applyAlignment="1">
      <alignment horizontal="left" vertical="center"/>
    </xf>
    <xf numFmtId="0" fontId="127" fillId="6" borderId="19" xfId="0" applyFont="1" applyFill="1" applyBorder="1" applyAlignment="1">
      <alignment horizontal="left" vertical="center"/>
    </xf>
    <xf numFmtId="0" fontId="124" fillId="0" borderId="0" xfId="0" applyFont="1" applyAlignment="1">
      <alignment horizontal="center" vertical="center"/>
    </xf>
    <xf numFmtId="0" fontId="125" fillId="0" borderId="0" xfId="0" applyFont="1" applyAlignment="1">
      <alignment horizontal="center" vertical="center"/>
    </xf>
    <xf numFmtId="0" fontId="113" fillId="0" borderId="36" xfId="0" applyFont="1" applyBorder="1" applyAlignment="1">
      <alignment horizontal="right" vertical="center"/>
    </xf>
    <xf numFmtId="0" fontId="99" fillId="3" borderId="50" xfId="0" applyFont="1" applyFill="1" applyBorder="1" applyAlignment="1">
      <alignment horizontal="center" vertical="center" wrapText="1"/>
    </xf>
    <xf numFmtId="0" fontId="99" fillId="3" borderId="47" xfId="0" applyFont="1" applyFill="1" applyBorder="1" applyAlignment="1">
      <alignment horizontal="center" vertical="center" wrapText="1"/>
    </xf>
    <xf numFmtId="0" fontId="99" fillId="3" borderId="51" xfId="0" applyFont="1" applyFill="1" applyBorder="1" applyAlignment="1">
      <alignment horizontal="center" vertical="center" wrapText="1"/>
    </xf>
    <xf numFmtId="0" fontId="99" fillId="3" borderId="37" xfId="0" applyFont="1" applyFill="1" applyBorder="1" applyAlignment="1">
      <alignment horizontal="center" vertical="center" wrapText="1"/>
    </xf>
    <xf numFmtId="0" fontId="99" fillId="3" borderId="40" xfId="0" applyFont="1" applyFill="1" applyBorder="1" applyAlignment="1">
      <alignment horizontal="center" vertical="center" wrapText="1"/>
    </xf>
    <xf numFmtId="0" fontId="99" fillId="3" borderId="41" xfId="0" applyFont="1" applyFill="1" applyBorder="1" applyAlignment="1">
      <alignment horizontal="center" vertical="center" wrapText="1"/>
    </xf>
    <xf numFmtId="0" fontId="123" fillId="0" borderId="0" xfId="0" applyFont="1" applyAlignment="1">
      <alignment horizontal="right"/>
    </xf>
    <xf numFmtId="0" fontId="15" fillId="0" borderId="10" xfId="0" applyFont="1" applyBorder="1" applyAlignment="1">
      <alignment horizontal="center" vertical="center" wrapText="1"/>
    </xf>
    <xf numFmtId="0" fontId="15" fillId="0" borderId="19" xfId="0" applyFont="1" applyBorder="1" applyAlignment="1">
      <alignment horizontal="center" vertical="center" wrapText="1"/>
    </xf>
    <xf numFmtId="0" fontId="164" fillId="0" borderId="5" xfId="0" applyFont="1" applyBorder="1" applyAlignment="1">
      <alignment horizontal="center" vertical="center" wrapText="1"/>
    </xf>
    <xf numFmtId="0" fontId="15" fillId="0" borderId="0" xfId="0" applyFont="1" applyAlignment="1">
      <alignment horizontal="right"/>
    </xf>
    <xf numFmtId="0" fontId="37" fillId="0" borderId="0" xfId="7" applyFont="1" applyAlignment="1">
      <alignment horizontal="right" vertical="center"/>
    </xf>
    <xf numFmtId="0" fontId="32" fillId="0" borderId="0" xfId="7" applyFont="1" applyAlignment="1">
      <alignment horizontal="center" vertical="center"/>
    </xf>
    <xf numFmtId="0" fontId="47" fillId="0" borderId="0" xfId="7" applyFont="1" applyAlignment="1">
      <alignment horizontal="left" vertical="center" wrapText="1"/>
    </xf>
    <xf numFmtId="0" fontId="46" fillId="2" borderId="17" xfId="7" applyFont="1" applyFill="1" applyBorder="1" applyAlignment="1">
      <alignment horizontal="center" vertical="center" wrapText="1"/>
    </xf>
    <xf numFmtId="0" fontId="46" fillId="2" borderId="26" xfId="7" applyFont="1" applyFill="1" applyBorder="1" applyAlignment="1">
      <alignment horizontal="center" vertical="center" wrapText="1"/>
    </xf>
    <xf numFmtId="0" fontId="46" fillId="0" borderId="26" xfId="7" applyFont="1" applyBorder="1" applyAlignment="1">
      <alignment horizontal="center" vertical="center" wrapText="1"/>
    </xf>
    <xf numFmtId="1" fontId="82" fillId="0" borderId="0" xfId="0" applyNumberFormat="1" applyFont="1" applyAlignment="1">
      <alignment horizontal="center" vertical="center" wrapText="1" shrinkToFit="1"/>
    </xf>
    <xf numFmtId="1" fontId="72" fillId="0" borderId="0" xfId="0" applyNumberFormat="1" applyFont="1" applyAlignment="1">
      <alignment horizontal="right" vertical="center"/>
    </xf>
    <xf numFmtId="0" fontId="83" fillId="2" borderId="5" xfId="0" applyFont="1" applyFill="1" applyBorder="1" applyAlignment="1">
      <alignment horizontal="center" vertical="center"/>
    </xf>
    <xf numFmtId="0" fontId="83" fillId="0" borderId="5" xfId="0" applyFont="1" applyBorder="1" applyAlignment="1">
      <alignment horizontal="center" vertical="center"/>
    </xf>
    <xf numFmtId="0" fontId="82" fillId="0" borderId="0" xfId="0" applyFont="1" applyAlignment="1">
      <alignment horizontal="center" vertical="center" wrapText="1"/>
    </xf>
    <xf numFmtId="0" fontId="88" fillId="0" borderId="0" xfId="0" applyFont="1" applyAlignment="1">
      <alignment vertical="center"/>
    </xf>
    <xf numFmtId="2" fontId="88" fillId="0" borderId="0" xfId="0" applyNumberFormat="1" applyFont="1" applyAlignment="1">
      <alignment horizontal="right" vertical="center"/>
    </xf>
    <xf numFmtId="2" fontId="88" fillId="0" borderId="0" xfId="0" applyNumberFormat="1" applyFont="1" applyAlignment="1">
      <alignment horizontal="left" vertical="center"/>
    </xf>
    <xf numFmtId="0" fontId="78" fillId="0" borderId="0" xfId="0" applyFont="1" applyAlignment="1">
      <alignment horizontal="center" vertical="center"/>
    </xf>
    <xf numFmtId="0" fontId="30" fillId="4" borderId="0" xfId="0" applyFont="1" applyFill="1" applyAlignment="1">
      <alignment vertical="top" wrapText="1"/>
    </xf>
    <xf numFmtId="0" fontId="88" fillId="0" borderId="0" xfId="0" applyFont="1" applyAlignment="1">
      <alignment horizontal="left" vertical="center" wrapText="1"/>
    </xf>
    <xf numFmtId="0" fontId="78" fillId="2" borderId="10" xfId="0" applyFont="1" applyFill="1" applyBorder="1" applyAlignment="1">
      <alignment horizontal="center" vertical="center" wrapText="1"/>
    </xf>
    <xf numFmtId="0" fontId="78" fillId="2" borderId="11" xfId="0" applyFont="1" applyFill="1" applyBorder="1" applyAlignment="1">
      <alignment horizontal="center" vertical="center" wrapText="1"/>
    </xf>
    <xf numFmtId="0" fontId="78" fillId="2" borderId="19" xfId="0" applyFont="1" applyFill="1" applyBorder="1" applyAlignment="1">
      <alignment horizontal="center" vertical="center" wrapText="1"/>
    </xf>
    <xf numFmtId="0" fontId="78" fillId="2" borderId="5" xfId="0" applyFont="1" applyFill="1" applyBorder="1" applyAlignment="1">
      <alignment horizontal="center" vertical="center"/>
    </xf>
    <xf numFmtId="0" fontId="78" fillId="2" borderId="5" xfId="0" applyFont="1" applyFill="1" applyBorder="1" applyAlignment="1">
      <alignment horizontal="center" vertical="center" wrapText="1"/>
    </xf>
    <xf numFmtId="0" fontId="113" fillId="0" borderId="20" xfId="0" applyFont="1" applyBorder="1" applyAlignment="1">
      <alignment horizontal="center" vertical="center"/>
    </xf>
    <xf numFmtId="0" fontId="88" fillId="0" borderId="0" xfId="0" applyFont="1" applyAlignment="1">
      <alignment horizontal="left" vertical="center"/>
    </xf>
    <xf numFmtId="0" fontId="88" fillId="0" borderId="0" xfId="0" applyFont="1" applyAlignment="1">
      <alignment horizontal="center"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59" fillId="0" borderId="0" xfId="0" applyNumberFormat="1" applyFont="1" applyAlignment="1">
      <alignment horizontal="right" vertical="center" wrapText="1"/>
    </xf>
    <xf numFmtId="0" fontId="94" fillId="0" borderId="0" xfId="0" applyFont="1" applyAlignment="1">
      <alignment vertical="center"/>
    </xf>
    <xf numFmtId="0" fontId="99" fillId="0" borderId="0" xfId="0" applyFont="1" applyAlignment="1">
      <alignment horizontal="center" vertical="center" wrapText="1"/>
    </xf>
    <xf numFmtId="0" fontId="15" fillId="0" borderId="0" xfId="0" applyFont="1" applyAlignment="1">
      <alignment horizontal="center" vertical="center"/>
    </xf>
    <xf numFmtId="0" fontId="88" fillId="2" borderId="46" xfId="0" applyFont="1" applyFill="1" applyBorder="1" applyAlignment="1">
      <alignment horizontal="left" vertical="center" wrapText="1"/>
    </xf>
    <xf numFmtId="0" fontId="88" fillId="2" borderId="47" xfId="0" applyFont="1" applyFill="1" applyBorder="1" applyAlignment="1">
      <alignment horizontal="left" vertical="center" wrapText="1"/>
    </xf>
    <xf numFmtId="0" fontId="88" fillId="2" borderId="23" xfId="0" applyFont="1" applyFill="1" applyBorder="1" applyAlignment="1">
      <alignment horizontal="left" vertical="center" wrapText="1"/>
    </xf>
    <xf numFmtId="0" fontId="69" fillId="0" borderId="2" xfId="0" applyFont="1" applyBorder="1" applyAlignment="1">
      <alignment horizontal="center" vertical="center"/>
    </xf>
    <xf numFmtId="0" fontId="69" fillId="0" borderId="3" xfId="0" applyFont="1" applyBorder="1" applyAlignment="1">
      <alignment horizontal="center" vertical="center"/>
    </xf>
    <xf numFmtId="0" fontId="35" fillId="0" borderId="1" xfId="0" applyFont="1" applyBorder="1" applyAlignment="1">
      <alignment horizontal="left" vertical="center" wrapText="1"/>
    </xf>
    <xf numFmtId="0" fontId="35" fillId="0" borderId="2" xfId="0" applyFont="1" applyBorder="1" applyAlignment="1">
      <alignment horizontal="left" vertical="center" wrapText="1"/>
    </xf>
    <xf numFmtId="0" fontId="35" fillId="0" borderId="3" xfId="0" applyFont="1" applyBorder="1" applyAlignment="1">
      <alignment horizontal="left" vertical="center" wrapText="1"/>
    </xf>
    <xf numFmtId="1" fontId="88" fillId="0" borderId="0" xfId="0" applyNumberFormat="1" applyFont="1" applyAlignment="1">
      <alignment horizontal="center" vertical="center"/>
    </xf>
    <xf numFmtId="1" fontId="15" fillId="0" borderId="0" xfId="0" applyNumberFormat="1" applyFont="1" applyAlignment="1">
      <alignment horizontal="center" vertical="center"/>
    </xf>
    <xf numFmtId="0" fontId="82" fillId="2" borderId="3" xfId="0" applyFont="1" applyFill="1" applyBorder="1" applyAlignment="1">
      <alignment horizontal="center" vertical="center"/>
    </xf>
    <xf numFmtId="0" fontId="82" fillId="2" borderId="32" xfId="0" applyFont="1" applyFill="1" applyBorder="1" applyAlignment="1">
      <alignment vertical="center" wrapText="1"/>
    </xf>
    <xf numFmtId="0" fontId="83" fillId="2" borderId="33" xfId="0" applyFont="1" applyFill="1" applyBorder="1" applyAlignment="1">
      <alignment vertical="center" wrapText="1"/>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9" xfId="0" applyFont="1" applyBorder="1" applyAlignment="1">
      <alignment horizontal="center" vertical="center"/>
    </xf>
    <xf numFmtId="0" fontId="34" fillId="2" borderId="5" xfId="0" applyFont="1" applyFill="1" applyBorder="1" applyAlignment="1">
      <alignment vertical="center" wrapText="1"/>
    </xf>
    <xf numFmtId="0" fontId="28" fillId="2" borderId="5" xfId="0" applyFont="1" applyFill="1" applyBorder="1" applyAlignment="1">
      <alignment vertical="center" wrapText="1"/>
    </xf>
    <xf numFmtId="0" fontId="34" fillId="2" borderId="17" xfId="0" applyFont="1" applyFill="1" applyBorder="1" applyAlignment="1">
      <alignment horizontal="center" vertical="center"/>
    </xf>
    <xf numFmtId="0" fontId="34" fillId="2" borderId="26" xfId="0" applyFont="1" applyFill="1" applyBorder="1" applyAlignment="1">
      <alignment horizontal="center" vertical="center"/>
    </xf>
    <xf numFmtId="0" fontId="34" fillId="2" borderId="17" xfId="0" applyFont="1" applyFill="1" applyBorder="1" applyAlignment="1">
      <alignment horizontal="center" vertical="center" wrapText="1"/>
    </xf>
    <xf numFmtId="0" fontId="34" fillId="2" borderId="26"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34" fillId="0" borderId="5" xfId="0" applyFont="1" applyBorder="1" applyAlignment="1">
      <alignment horizontal="center" vertical="center" wrapText="1"/>
    </xf>
    <xf numFmtId="0" fontId="34" fillId="2" borderId="5" xfId="0" applyFont="1" applyFill="1" applyBorder="1" applyAlignment="1">
      <alignment horizontal="center" vertical="center"/>
    </xf>
    <xf numFmtId="0" fontId="34" fillId="2" borderId="10" xfId="0" applyFont="1" applyFill="1" applyBorder="1" applyAlignment="1">
      <alignment horizontal="center" vertical="center"/>
    </xf>
    <xf numFmtId="0" fontId="34" fillId="2" borderId="11" xfId="0" applyFont="1" applyFill="1" applyBorder="1" applyAlignment="1">
      <alignment horizontal="center" vertical="center"/>
    </xf>
    <xf numFmtId="0" fontId="34" fillId="2" borderId="19" xfId="0" applyFont="1" applyFill="1" applyBorder="1" applyAlignment="1">
      <alignment horizontal="center" vertical="center"/>
    </xf>
    <xf numFmtId="0" fontId="34" fillId="2" borderId="10" xfId="0" applyFont="1" applyFill="1" applyBorder="1" applyAlignment="1">
      <alignment horizontal="center" vertical="center" wrapText="1"/>
    </xf>
    <xf numFmtId="0" fontId="34" fillId="2" borderId="19" xfId="0" applyFont="1" applyFill="1" applyBorder="1" applyAlignment="1">
      <alignment horizontal="center" vertical="center" wrapText="1"/>
    </xf>
    <xf numFmtId="1" fontId="34" fillId="0" borderId="0" xfId="0" applyNumberFormat="1" applyFont="1" applyAlignment="1">
      <alignment horizontal="center"/>
    </xf>
    <xf numFmtId="1" fontId="34" fillId="2" borderId="2" xfId="0" applyNumberFormat="1" applyFont="1" applyFill="1" applyBorder="1" applyAlignment="1">
      <alignment horizontal="center"/>
    </xf>
    <xf numFmtId="1" fontId="34" fillId="2" borderId="27" xfId="0" applyNumberFormat="1" applyFont="1" applyFill="1" applyBorder="1" applyAlignment="1">
      <alignment horizontal="center"/>
    </xf>
    <xf numFmtId="1" fontId="34" fillId="2" borderId="39" xfId="0" applyNumberFormat="1" applyFont="1" applyFill="1" applyBorder="1" applyAlignment="1">
      <alignment horizontal="center"/>
    </xf>
    <xf numFmtId="1" fontId="34" fillId="2" borderId="5" xfId="0" applyNumberFormat="1" applyFont="1" applyFill="1" applyBorder="1" applyAlignment="1">
      <alignment horizontal="center" vertical="center" wrapText="1"/>
    </xf>
    <xf numFmtId="1" fontId="34" fillId="2" borderId="10" xfId="0" applyNumberFormat="1" applyFont="1" applyFill="1" applyBorder="1" applyAlignment="1">
      <alignment horizontal="center" vertical="center" wrapText="1"/>
    </xf>
    <xf numFmtId="1" fontId="34" fillId="2" borderId="32" xfId="0" applyNumberFormat="1" applyFont="1" applyFill="1" applyBorder="1" applyAlignment="1">
      <alignment vertical="center" wrapText="1"/>
    </xf>
    <xf numFmtId="1" fontId="28" fillId="2" borderId="33" xfId="0" applyNumberFormat="1" applyFont="1" applyFill="1" applyBorder="1" applyAlignment="1">
      <alignment vertical="center" wrapText="1"/>
    </xf>
    <xf numFmtId="1" fontId="34" fillId="0" borderId="5" xfId="0" applyNumberFormat="1" applyFont="1" applyBorder="1" applyAlignment="1">
      <alignment horizontal="center" vertical="center" wrapText="1"/>
    </xf>
    <xf numFmtId="2" fontId="11" fillId="0" borderId="0" xfId="0" applyNumberFormat="1" applyFont="1" applyAlignment="1">
      <alignment horizontal="right"/>
    </xf>
    <xf numFmtId="0" fontId="90" fillId="0" borderId="14" xfId="0" applyFont="1" applyBorder="1" applyAlignment="1">
      <alignment horizontal="center" wrapText="1"/>
    </xf>
    <xf numFmtId="0" fontId="11" fillId="0" borderId="0" xfId="0" applyFont="1" applyAlignment="1">
      <alignment horizontal="center"/>
    </xf>
    <xf numFmtId="0" fontId="59" fillId="0" borderId="0" xfId="0" applyFont="1" applyAlignment="1">
      <alignment horizontal="right"/>
    </xf>
    <xf numFmtId="0" fontId="11" fillId="2" borderId="10" xfId="0" applyFont="1" applyFill="1" applyBorder="1" applyAlignment="1">
      <alignment horizontal="center"/>
    </xf>
    <xf numFmtId="0" fontId="11" fillId="2" borderId="11" xfId="0" applyFont="1" applyFill="1" applyBorder="1" applyAlignment="1">
      <alignment horizontal="center"/>
    </xf>
    <xf numFmtId="0" fontId="11" fillId="2" borderId="19" xfId="0" applyFont="1" applyFill="1" applyBorder="1" applyAlignment="1">
      <alignment horizontal="center"/>
    </xf>
    <xf numFmtId="2" fontId="82" fillId="0" borderId="0" xfId="0" applyNumberFormat="1" applyFont="1" applyAlignment="1">
      <alignment horizontal="right"/>
    </xf>
    <xf numFmtId="0" fontId="87" fillId="0" borderId="36" xfId="0" applyFont="1" applyBorder="1" applyAlignment="1">
      <alignment horizontal="right" wrapText="1"/>
    </xf>
    <xf numFmtId="0" fontId="0" fillId="0" borderId="36" xfId="0" applyBorder="1" applyAlignment="1">
      <alignment wrapText="1"/>
    </xf>
    <xf numFmtId="0" fontId="82" fillId="2" borderId="24" xfId="0" applyFont="1" applyFill="1" applyBorder="1" applyAlignment="1">
      <alignment horizontal="left" vertical="center"/>
    </xf>
    <xf numFmtId="0" fontId="82" fillId="2" borderId="12" xfId="0" applyFont="1" applyFill="1" applyBorder="1" applyAlignment="1">
      <alignment horizontal="left" vertical="center"/>
    </xf>
    <xf numFmtId="0" fontId="82" fillId="2" borderId="24" xfId="0" applyFont="1" applyFill="1" applyBorder="1" applyAlignment="1">
      <alignment horizontal="left"/>
    </xf>
    <xf numFmtId="0" fontId="82" fillId="2" borderId="11" xfId="0" applyFont="1" applyFill="1" applyBorder="1" applyAlignment="1">
      <alignment horizontal="left"/>
    </xf>
    <xf numFmtId="0" fontId="82" fillId="2" borderId="12" xfId="0" applyFont="1" applyFill="1" applyBorder="1" applyAlignment="1">
      <alignment horizontal="left"/>
    </xf>
    <xf numFmtId="0" fontId="87" fillId="0" borderId="0" xfId="0" applyFont="1" applyAlignment="1">
      <alignment wrapText="1"/>
    </xf>
    <xf numFmtId="0" fontId="82" fillId="0" borderId="0" xfId="0" applyFont="1" applyAlignment="1">
      <alignment horizontal="right"/>
    </xf>
    <xf numFmtId="0" fontId="82" fillId="0" borderId="0" xfId="0" applyFont="1" applyAlignment="1">
      <alignment horizontal="left" wrapText="1"/>
    </xf>
    <xf numFmtId="0" fontId="83" fillId="0" borderId="0" xfId="0" applyFont="1" applyAlignment="1">
      <alignment wrapText="1"/>
    </xf>
    <xf numFmtId="0" fontId="85" fillId="0" borderId="0" xfId="0" applyFont="1" applyAlignment="1">
      <alignment horizontal="center" wrapText="1"/>
    </xf>
    <xf numFmtId="1" fontId="82" fillId="2" borderId="34" xfId="0" applyNumberFormat="1" applyFont="1" applyFill="1" applyBorder="1" applyAlignment="1">
      <alignment horizontal="center" vertical="center" wrapText="1"/>
    </xf>
    <xf numFmtId="1" fontId="82" fillId="2" borderId="35" xfId="0" applyNumberFormat="1" applyFont="1" applyFill="1" applyBorder="1" applyAlignment="1">
      <alignment horizontal="center" vertical="center" wrapText="1"/>
    </xf>
    <xf numFmtId="1" fontId="82" fillId="2" borderId="17" xfId="0" applyNumberFormat="1" applyFont="1" applyFill="1" applyBorder="1" applyAlignment="1">
      <alignment horizontal="center" vertical="center" wrapText="1"/>
    </xf>
    <xf numFmtId="1" fontId="82" fillId="2" borderId="26" xfId="0" applyNumberFormat="1" applyFont="1" applyFill="1" applyBorder="1" applyAlignment="1">
      <alignment horizontal="center" vertical="center" wrapText="1"/>
    </xf>
    <xf numFmtId="1" fontId="82" fillId="2" borderId="10" xfId="0" applyNumberFormat="1" applyFont="1" applyFill="1" applyBorder="1" applyAlignment="1">
      <alignment horizontal="center" vertical="center" wrapText="1"/>
    </xf>
    <xf numFmtId="1" fontId="82" fillId="2" borderId="19" xfId="0" applyNumberFormat="1" applyFont="1" applyFill="1" applyBorder="1" applyAlignment="1">
      <alignment horizontal="center" vertical="center" wrapText="1"/>
    </xf>
    <xf numFmtId="1" fontId="82" fillId="2" borderId="32" xfId="0" applyNumberFormat="1" applyFont="1" applyFill="1" applyBorder="1" applyAlignment="1">
      <alignment horizontal="left" vertical="center" wrapText="1"/>
    </xf>
    <xf numFmtId="1" fontId="83" fillId="2" borderId="33" xfId="0" applyNumberFormat="1" applyFont="1" applyFill="1" applyBorder="1" applyAlignment="1">
      <alignment horizontal="left" vertical="center" wrapText="1"/>
    </xf>
    <xf numFmtId="1" fontId="82" fillId="2" borderId="2" xfId="0" applyNumberFormat="1" applyFont="1" applyFill="1" applyBorder="1" applyAlignment="1">
      <alignment horizontal="center" vertical="center"/>
    </xf>
    <xf numFmtId="1" fontId="82" fillId="0" borderId="2" xfId="0" applyNumberFormat="1" applyFont="1" applyBorder="1" applyAlignment="1">
      <alignment horizontal="center" vertical="center"/>
    </xf>
    <xf numFmtId="1" fontId="82" fillId="2" borderId="3" xfId="0" applyNumberFormat="1" applyFont="1" applyFill="1" applyBorder="1" applyAlignment="1">
      <alignment horizontal="center" vertical="center"/>
    </xf>
    <xf numFmtId="0" fontId="76" fillId="0" borderId="0" xfId="0" applyFont="1" applyAlignment="1">
      <alignment horizontal="left" vertical="center" wrapText="1"/>
    </xf>
    <xf numFmtId="0" fontId="75" fillId="0" borderId="0" xfId="0" applyFont="1" applyAlignment="1">
      <alignment horizontal="left" vertical="center" wrapText="1"/>
    </xf>
    <xf numFmtId="0" fontId="76" fillId="0" borderId="0" xfId="0" applyFont="1" applyAlignment="1">
      <alignment vertical="center" wrapText="1"/>
    </xf>
    <xf numFmtId="0" fontId="74" fillId="0" borderId="0" xfId="0" applyFont="1" applyAlignment="1">
      <alignment horizontal="left" vertical="center"/>
    </xf>
    <xf numFmtId="0" fontId="74" fillId="0" borderId="0" xfId="0" applyFont="1" applyAlignment="1">
      <alignment horizontal="left" vertical="center" wrapText="1"/>
    </xf>
    <xf numFmtId="0" fontId="10" fillId="0" borderId="0" xfId="0" applyFont="1" applyAlignment="1">
      <alignment horizontal="center"/>
    </xf>
    <xf numFmtId="0" fontId="11" fillId="2" borderId="1" xfId="0" applyFont="1" applyFill="1" applyBorder="1" applyAlignment="1">
      <alignment vertical="center" wrapText="1"/>
    </xf>
    <xf numFmtId="0" fontId="8" fillId="2" borderId="2" xfId="0" applyFont="1" applyFill="1" applyBorder="1" applyAlignment="1">
      <alignment vertical="center" wrapText="1"/>
    </xf>
    <xf numFmtId="0" fontId="11" fillId="0" borderId="0" xfId="0" applyFont="1" applyAlignment="1">
      <alignment horizontal="left"/>
    </xf>
    <xf numFmtId="0" fontId="20" fillId="0" borderId="0" xfId="0" applyFont="1" applyAlignment="1">
      <alignment horizontal="center"/>
    </xf>
    <xf numFmtId="2" fontId="15" fillId="0" borderId="0" xfId="0" applyNumberFormat="1" applyFont="1" applyAlignment="1">
      <alignment horizontal="center" vertical="center"/>
    </xf>
    <xf numFmtId="2" fontId="15" fillId="0" borderId="0" xfId="1" applyNumberFormat="1" applyFont="1" applyBorder="1" applyAlignment="1">
      <alignment horizontal="center" vertical="center"/>
    </xf>
    <xf numFmtId="1" fontId="69" fillId="0" borderId="0" xfId="1" applyNumberFormat="1" applyFont="1" applyBorder="1" applyAlignment="1">
      <alignment horizontal="center" vertical="center"/>
    </xf>
    <xf numFmtId="2" fontId="30" fillId="0" borderId="0" xfId="8" applyNumberFormat="1" applyFont="1" applyAlignment="1">
      <alignment horizontal="center" vertical="center"/>
    </xf>
    <xf numFmtId="0" fontId="59" fillId="0" borderId="0" xfId="8" applyFont="1" applyAlignment="1">
      <alignment horizontal="right" vertical="center"/>
    </xf>
    <xf numFmtId="2" fontId="30" fillId="0" borderId="0" xfId="12" applyNumberFormat="1" applyFont="1" applyBorder="1" applyAlignment="1">
      <alignment horizontal="center" vertical="center"/>
    </xf>
    <xf numFmtId="1" fontId="30" fillId="0" borderId="0" xfId="12" applyNumberFormat="1" applyFont="1" applyBorder="1" applyAlignment="1">
      <alignment horizontal="center" vertical="center"/>
    </xf>
    <xf numFmtId="2" fontId="46" fillId="0" borderId="0" xfId="0" applyNumberFormat="1" applyFont="1" applyAlignment="1">
      <alignment horizontal="right"/>
    </xf>
    <xf numFmtId="0" fontId="46" fillId="0" borderId="5" xfId="0" applyFont="1" applyBorder="1" applyAlignment="1">
      <alignment horizontal="center" vertical="center"/>
    </xf>
    <xf numFmtId="2" fontId="46" fillId="0" borderId="5" xfId="0" applyNumberFormat="1" applyFont="1" applyBorder="1" applyAlignment="1">
      <alignment horizontal="left" vertical="center" wrapText="1"/>
    </xf>
    <xf numFmtId="2" fontId="46" fillId="0" borderId="5" xfId="0" applyNumberFormat="1" applyFont="1" applyBorder="1" applyAlignment="1">
      <alignment horizontal="right" vertical="center"/>
    </xf>
    <xf numFmtId="0" fontId="9" fillId="0" borderId="0" xfId="0" applyFont="1" applyAlignment="1">
      <alignment horizontal="center" vertical="top"/>
    </xf>
    <xf numFmtId="0" fontId="54" fillId="0" borderId="20" xfId="0" applyFont="1" applyBorder="1" applyAlignment="1">
      <alignment horizontal="right"/>
    </xf>
    <xf numFmtId="0" fontId="46" fillId="2" borderId="5" xfId="0" applyFont="1" applyFill="1" applyBorder="1" applyAlignment="1">
      <alignment horizontal="center"/>
    </xf>
    <xf numFmtId="0" fontId="53" fillId="2" borderId="10" xfId="0" applyFont="1" applyFill="1" applyBorder="1" applyAlignment="1">
      <alignment horizontal="center" vertical="top" wrapText="1"/>
    </xf>
    <xf numFmtId="0" fontId="53" fillId="2" borderId="11" xfId="0" applyFont="1" applyFill="1" applyBorder="1" applyAlignment="1">
      <alignment horizontal="center" vertical="top" wrapText="1"/>
    </xf>
    <xf numFmtId="0" fontId="53" fillId="2" borderId="19" xfId="0" applyFont="1" applyFill="1" applyBorder="1" applyAlignment="1">
      <alignment horizontal="center" vertical="top" wrapText="1"/>
    </xf>
    <xf numFmtId="0" fontId="37" fillId="0" borderId="0" xfId="0" applyFont="1" applyAlignment="1">
      <alignment horizontal="right"/>
    </xf>
    <xf numFmtId="0" fontId="48" fillId="0" borderId="0" xfId="0" applyFont="1" applyAlignment="1">
      <alignment horizontal="center" vertical="center"/>
    </xf>
    <xf numFmtId="0" fontId="49" fillId="0" borderId="0" xfId="0" applyFont="1" applyAlignment="1">
      <alignment horizontal="center" vertical="top"/>
    </xf>
    <xf numFmtId="0" fontId="50" fillId="0" borderId="0" xfId="0" applyFont="1" applyAlignment="1">
      <alignment vertical="top"/>
    </xf>
    <xf numFmtId="0" fontId="51" fillId="0" borderId="0" xfId="0" applyFont="1" applyAlignment="1">
      <alignment horizontal="center" vertical="center"/>
    </xf>
    <xf numFmtId="0" fontId="53" fillId="2" borderId="10" xfId="0" applyFont="1" applyFill="1" applyBorder="1" applyAlignment="1">
      <alignment horizontal="center" vertical="center" wrapText="1"/>
    </xf>
    <xf numFmtId="0" fontId="53" fillId="2" borderId="11" xfId="0" applyFont="1" applyFill="1" applyBorder="1" applyAlignment="1">
      <alignment horizontal="center" vertical="center" wrapText="1"/>
    </xf>
    <xf numFmtId="0" fontId="53" fillId="2" borderId="19" xfId="0" applyFont="1" applyFill="1" applyBorder="1" applyAlignment="1">
      <alignment horizontal="center" vertical="center" wrapText="1"/>
    </xf>
    <xf numFmtId="0" fontId="37" fillId="0" borderId="0" xfId="7" applyFont="1" applyAlignment="1">
      <alignment horizontal="right"/>
    </xf>
    <xf numFmtId="0" fontId="0" fillId="2" borderId="26" xfId="0" applyFill="1" applyBorder="1" applyAlignment="1">
      <alignment horizontal="center" vertical="center" wrapText="1"/>
    </xf>
    <xf numFmtId="0" fontId="47" fillId="0" borderId="0" xfId="7" applyFont="1" applyAlignment="1">
      <alignment horizontal="center" vertical="center"/>
    </xf>
    <xf numFmtId="0" fontId="46" fillId="2" borderId="13" xfId="7" applyFont="1" applyFill="1" applyBorder="1" applyAlignment="1">
      <alignment horizontal="center" vertical="center" wrapText="1"/>
    </xf>
    <xf numFmtId="0" fontId="46" fillId="2" borderId="18" xfId="7" applyFont="1" applyFill="1" applyBorder="1" applyAlignment="1">
      <alignment horizontal="center" vertical="center" wrapText="1"/>
    </xf>
    <xf numFmtId="0" fontId="46" fillId="2" borderId="10" xfId="7" applyFont="1" applyFill="1" applyBorder="1" applyAlignment="1">
      <alignment horizontal="center" vertical="center" wrapText="1"/>
    </xf>
    <xf numFmtId="0" fontId="46" fillId="2" borderId="11" xfId="7" applyFont="1" applyFill="1" applyBorder="1" applyAlignment="1">
      <alignment horizontal="center" vertical="center" wrapText="1"/>
    </xf>
    <xf numFmtId="0" fontId="46" fillId="2" borderId="19" xfId="7" applyFont="1" applyFill="1" applyBorder="1" applyAlignment="1">
      <alignment horizontal="center" vertical="center" wrapText="1"/>
    </xf>
    <xf numFmtId="0" fontId="41" fillId="0" borderId="5" xfId="0" applyFont="1" applyBorder="1" applyAlignment="1">
      <alignment horizontal="center" wrapText="1"/>
    </xf>
    <xf numFmtId="0" fontId="41" fillId="0" borderId="17" xfId="0" applyFont="1" applyBorder="1" applyAlignment="1">
      <alignment horizontal="center" vertical="center"/>
    </xf>
    <xf numFmtId="0" fontId="41" fillId="0" borderId="26" xfId="0" applyFont="1" applyBorder="1" applyAlignment="1">
      <alignment horizontal="center" vertical="center"/>
    </xf>
    <xf numFmtId="0" fontId="42" fillId="0" borderId="17"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13"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19" xfId="0" applyFont="1" applyBorder="1" applyAlignment="1">
      <alignment horizontal="center" vertical="center" wrapText="1"/>
    </xf>
    <xf numFmtId="0" fontId="41" fillId="0" borderId="5" xfId="0" applyFont="1" applyBorder="1" applyAlignment="1">
      <alignment horizontal="center"/>
    </xf>
    <xf numFmtId="0" fontId="41" fillId="0" borderId="10" xfId="0" applyFont="1" applyBorder="1" applyAlignment="1">
      <alignment horizontal="center"/>
    </xf>
    <xf numFmtId="0" fontId="41" fillId="0" borderId="19" xfId="0" applyFont="1" applyBorder="1" applyAlignment="1">
      <alignment horizontal="center"/>
    </xf>
    <xf numFmtId="0" fontId="38" fillId="0" borderId="0" xfId="7" applyFont="1" applyAlignment="1">
      <alignment horizontal="center" vertical="center"/>
    </xf>
    <xf numFmtId="0" fontId="39" fillId="0" borderId="0" xfId="0" applyFont="1" applyAlignment="1">
      <alignment horizontal="center" vertical="center" wrapText="1"/>
    </xf>
    <xf numFmtId="0" fontId="40" fillId="0" borderId="20" xfId="0" applyFont="1" applyBorder="1" applyAlignment="1">
      <alignment horizontal="right"/>
    </xf>
    <xf numFmtId="0" fontId="34" fillId="0" borderId="0" xfId="0" applyFont="1" applyAlignment="1">
      <alignment horizontal="center"/>
    </xf>
    <xf numFmtId="0" fontId="36" fillId="0" borderId="0" xfId="0" applyFont="1" applyAlignment="1">
      <alignment horizontal="left" wrapText="1"/>
    </xf>
    <xf numFmtId="0" fontId="14" fillId="0" borderId="0" xfId="0" applyFont="1" applyAlignment="1">
      <alignment horizontal="center" vertical="top"/>
    </xf>
    <xf numFmtId="0" fontId="14" fillId="0" borderId="0" xfId="0" applyFont="1" applyAlignment="1">
      <alignment horizontal="center"/>
    </xf>
    <xf numFmtId="0" fontId="31" fillId="0" borderId="0" xfId="0" applyFont="1" applyAlignment="1">
      <alignment horizontal="left"/>
    </xf>
    <xf numFmtId="0" fontId="12" fillId="0" borderId="0" xfId="0" applyFont="1" applyAlignment="1">
      <alignment horizontal="right"/>
    </xf>
    <xf numFmtId="0" fontId="26" fillId="0" borderId="0" xfId="0" applyFont="1" applyAlignment="1">
      <alignment horizontal="center" vertical="center"/>
    </xf>
    <xf numFmtId="0" fontId="20" fillId="0" borderId="0" xfId="0" applyFont="1" applyAlignment="1">
      <alignment horizontal="right"/>
    </xf>
    <xf numFmtId="0" fontId="12" fillId="2" borderId="17" xfId="0" applyFont="1" applyFill="1" applyBorder="1" applyAlignment="1">
      <alignment horizontal="center" vertical="center"/>
    </xf>
    <xf numFmtId="0" fontId="25" fillId="2" borderId="25" xfId="0" applyFont="1" applyFill="1" applyBorder="1" applyAlignment="1">
      <alignment horizontal="center" vertical="center"/>
    </xf>
    <xf numFmtId="0" fontId="25" fillId="2" borderId="26" xfId="0" applyFont="1" applyFill="1" applyBorder="1" applyAlignment="1">
      <alignment horizontal="center" vertical="center"/>
    </xf>
    <xf numFmtId="0" fontId="12" fillId="2" borderId="17" xfId="0" applyFont="1" applyFill="1" applyBorder="1" applyAlignment="1">
      <alignment horizontal="center" vertical="center" wrapText="1"/>
    </xf>
    <xf numFmtId="0" fontId="25" fillId="2" borderId="25"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0" borderId="17" xfId="0" applyFont="1" applyBorder="1" applyAlignment="1">
      <alignment horizontal="center" vertical="center" wrapText="1"/>
    </xf>
    <xf numFmtId="0" fontId="25" fillId="0" borderId="25" xfId="0" applyFont="1" applyBorder="1" applyAlignment="1">
      <alignment horizontal="center" vertical="center" wrapText="1"/>
    </xf>
    <xf numFmtId="0" fontId="24" fillId="0" borderId="4" xfId="0" applyFont="1" applyBorder="1" applyAlignment="1">
      <alignment horizontal="left" vertical="top" wrapText="1"/>
    </xf>
    <xf numFmtId="0" fontId="24" fillId="0" borderId="5" xfId="0" applyFont="1" applyBorder="1" applyAlignment="1">
      <alignment horizontal="left" vertical="top" wrapText="1"/>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24" fillId="0" borderId="8" xfId="0" applyFont="1" applyBorder="1" applyAlignment="1">
      <alignment horizontal="left" vertical="top" wrapText="1"/>
    </xf>
    <xf numFmtId="0" fontId="24" fillId="0" borderId="9" xfId="0" applyFont="1" applyBorder="1" applyAlignment="1">
      <alignment horizontal="left" vertical="top" wrapText="1"/>
    </xf>
    <xf numFmtId="0" fontId="6" fillId="0" borderId="0" xfId="0" applyFont="1" applyAlignment="1">
      <alignment horizontal="left" vertical="top"/>
    </xf>
    <xf numFmtId="0" fontId="17" fillId="0" borderId="0" xfId="0" applyFont="1" applyAlignment="1">
      <alignment horizontal="left" vertical="top"/>
    </xf>
    <xf numFmtId="0" fontId="18" fillId="0" borderId="0" xfId="0" applyFont="1" applyAlignment="1">
      <alignment horizontal="left" vertical="top"/>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4" xfId="0" applyFont="1" applyBorder="1" applyAlignment="1">
      <alignment horizontal="left" vertical="top" wrapText="1"/>
    </xf>
    <xf numFmtId="0" fontId="19" fillId="0" borderId="5" xfId="0" applyFont="1" applyBorder="1" applyAlignment="1">
      <alignment horizontal="left" vertical="top" wrapText="1"/>
    </xf>
    <xf numFmtId="0" fontId="19" fillId="0" borderId="6" xfId="0" applyFont="1" applyBorder="1" applyAlignment="1">
      <alignment horizontal="left" vertical="top" wrapText="1"/>
    </xf>
    <xf numFmtId="0" fontId="23" fillId="0" borderId="24" xfId="0" applyFont="1" applyBorder="1" applyAlignment="1">
      <alignment horizontal="left" vertical="top"/>
    </xf>
    <xf numFmtId="0" fontId="23" fillId="0" borderId="11" xfId="0" applyFont="1" applyBorder="1" applyAlignment="1">
      <alignment horizontal="left" vertical="top"/>
    </xf>
    <xf numFmtId="0" fontId="23" fillId="0" borderId="12" xfId="0" applyFont="1" applyBorder="1" applyAlignment="1">
      <alignment horizontal="left" vertical="top"/>
    </xf>
    <xf numFmtId="0" fontId="18" fillId="0" borderId="10" xfId="0" applyFont="1" applyBorder="1" applyAlignment="1">
      <alignment horizontal="left" vertical="top"/>
    </xf>
    <xf numFmtId="0" fontId="18" fillId="0" borderId="11" xfId="0" applyFont="1" applyBorder="1" applyAlignment="1">
      <alignment horizontal="left" vertical="top"/>
    </xf>
    <xf numFmtId="0" fontId="18" fillId="0" borderId="19" xfId="0" applyFont="1" applyBorder="1" applyAlignment="1">
      <alignment horizontal="left" vertical="top"/>
    </xf>
    <xf numFmtId="0" fontId="6" fillId="0" borderId="20" xfId="0" applyFont="1" applyBorder="1" applyAlignment="1">
      <alignment horizontal="left" vertical="top"/>
    </xf>
    <xf numFmtId="0" fontId="6" fillId="0" borderId="10" xfId="0" applyFont="1" applyBorder="1" applyAlignment="1">
      <alignment horizontal="right"/>
    </xf>
    <xf numFmtId="0" fontId="6" fillId="0" borderId="11" xfId="0" applyFont="1" applyBorder="1" applyAlignment="1">
      <alignment horizontal="right"/>
    </xf>
    <xf numFmtId="0" fontId="6" fillId="0" borderId="19" xfId="0" applyFont="1" applyBorder="1" applyAlignment="1">
      <alignment horizontal="right"/>
    </xf>
    <xf numFmtId="0" fontId="6" fillId="0" borderId="5" xfId="0" applyFont="1" applyBorder="1" applyAlignment="1">
      <alignment horizontal="right" vertical="center"/>
    </xf>
    <xf numFmtId="0" fontId="6" fillId="0" borderId="5" xfId="0" applyFont="1" applyBorder="1" applyAlignment="1">
      <alignment horizontal="right"/>
    </xf>
    <xf numFmtId="0" fontId="188" fillId="0" borderId="0" xfId="0" applyFont="1" applyAlignment="1">
      <alignment horizontal="right"/>
    </xf>
    <xf numFmtId="0" fontId="188" fillId="0" borderId="5" xfId="0" applyFont="1" applyBorder="1" applyAlignment="1">
      <alignment horizontal="center"/>
    </xf>
    <xf numFmtId="0" fontId="11" fillId="0" borderId="10" xfId="0" applyFont="1" applyBorder="1" applyAlignment="1">
      <alignment horizontal="left" vertical="top"/>
    </xf>
    <xf numFmtId="0" fontId="11" fillId="2" borderId="11" xfId="0" applyFont="1" applyFill="1" applyBorder="1" applyAlignment="1">
      <alignment horizontal="left" vertical="top"/>
    </xf>
    <xf numFmtId="0" fontId="11" fillId="2" borderId="12" xfId="0" applyFont="1" applyFill="1" applyBorder="1" applyAlignment="1">
      <alignment horizontal="left" vertical="top"/>
    </xf>
    <xf numFmtId="0" fontId="11" fillId="2" borderId="10" xfId="0" applyFont="1" applyFill="1" applyBorder="1" applyAlignment="1">
      <alignment horizontal="left" vertical="top" wrapText="1"/>
    </xf>
    <xf numFmtId="0" fontId="11" fillId="2" borderId="11" xfId="0" applyFont="1" applyFill="1" applyBorder="1" applyAlignment="1">
      <alignment horizontal="left" vertical="top" wrapText="1"/>
    </xf>
    <xf numFmtId="0" fontId="11" fillId="2" borderId="12" xfId="0" applyFont="1" applyFill="1" applyBorder="1" applyAlignment="1">
      <alignment horizontal="left" vertical="top" wrapText="1"/>
    </xf>
    <xf numFmtId="0" fontId="9" fillId="0" borderId="0" xfId="0" applyFont="1" applyAlignment="1">
      <alignment horizontal="left"/>
    </xf>
    <xf numFmtId="0" fontId="10" fillId="0" borderId="0" xfId="0" applyFont="1" applyAlignment="1">
      <alignment horizontal="center" vertical="top"/>
    </xf>
    <xf numFmtId="0" fontId="12" fillId="0" borderId="0" xfId="0" applyFont="1" applyAlignment="1">
      <alignment horizontal="left" vertical="top"/>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2" fontId="11" fillId="0" borderId="28" xfId="0" applyNumberFormat="1" applyFont="1" applyBorder="1" applyAlignment="1">
      <alignment horizontal="right"/>
    </xf>
    <xf numFmtId="2" fontId="11" fillId="0" borderId="0" xfId="0" applyNumberFormat="1" applyFont="1" applyBorder="1" applyAlignment="1">
      <alignment horizontal="right"/>
    </xf>
    <xf numFmtId="0" fontId="63" fillId="0" borderId="0" xfId="0" applyFont="1" applyAlignment="1">
      <alignment horizontal="left"/>
    </xf>
    <xf numFmtId="0" fontId="0" fillId="0" borderId="0" xfId="0" applyAlignment="1">
      <alignment horizontal="left"/>
    </xf>
    <xf numFmtId="0" fontId="6"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left" vertical="center" wrapText="1"/>
    </xf>
    <xf numFmtId="0" fontId="19" fillId="0" borderId="5" xfId="0" applyFont="1" applyBorder="1" applyAlignment="1">
      <alignment horizontal="left" wrapText="1"/>
    </xf>
    <xf numFmtId="0" fontId="137" fillId="0" borderId="0" xfId="0" applyFont="1" applyAlignment="1">
      <alignment horizontal="left"/>
    </xf>
    <xf numFmtId="0" fontId="19" fillId="0" borderId="0" xfId="0" applyFont="1" applyAlignment="1">
      <alignment horizontal="center" vertical="center"/>
    </xf>
    <xf numFmtId="0" fontId="19" fillId="0" borderId="0" xfId="0" applyFont="1" applyAlignment="1">
      <alignment horizontal="center"/>
    </xf>
    <xf numFmtId="0" fontId="184" fillId="0" borderId="0" xfId="0" applyFont="1" applyAlignment="1">
      <alignment horizontal="center" vertical="center" wrapText="1"/>
    </xf>
    <xf numFmtId="0" fontId="63" fillId="0" borderId="0" xfId="0" applyFont="1" applyAlignment="1">
      <alignment horizontal="left" wrapText="1"/>
    </xf>
    <xf numFmtId="0" fontId="0" fillId="0" borderId="0" xfId="0" applyAlignment="1">
      <alignment horizontal="left" wrapText="1"/>
    </xf>
  </cellXfs>
  <cellStyles count="81">
    <cellStyle name="Comma" xfId="1" builtinId="3"/>
    <cellStyle name="Comma 2" xfId="12" xr:uid="{00000000-0005-0000-0000-000001000000}"/>
    <cellStyle name="Comma 2 10" xfId="75" xr:uid="{00000000-0005-0000-0000-000002000000}"/>
    <cellStyle name="Comma 2 11" xfId="64" xr:uid="{00000000-0005-0000-0000-000003000000}"/>
    <cellStyle name="Comma 2 12" xfId="69" xr:uid="{00000000-0005-0000-0000-000004000000}"/>
    <cellStyle name="Comma 2 2" xfId="10" xr:uid="{00000000-0005-0000-0000-000005000000}"/>
    <cellStyle name="Comma 2 2 2" xfId="21" xr:uid="{00000000-0005-0000-0000-000006000000}"/>
    <cellStyle name="Comma 2 3" xfId="22" xr:uid="{00000000-0005-0000-0000-000007000000}"/>
    <cellStyle name="Comma 2 4" xfId="25" xr:uid="{00000000-0005-0000-0000-000008000000}"/>
    <cellStyle name="Comma 2 5" xfId="26" xr:uid="{00000000-0005-0000-0000-000009000000}"/>
    <cellStyle name="Comma 2 6" xfId="35" xr:uid="{00000000-0005-0000-0000-00000A000000}"/>
    <cellStyle name="Comma 2 7" xfId="28" xr:uid="{00000000-0005-0000-0000-00000B000000}"/>
    <cellStyle name="Comma 2 8" xfId="58" xr:uid="{00000000-0005-0000-0000-00000C000000}"/>
    <cellStyle name="Comma 2 9" xfId="72" xr:uid="{00000000-0005-0000-0000-00000D000000}"/>
    <cellStyle name="Comma 3" xfId="13" xr:uid="{00000000-0005-0000-0000-00000E000000}"/>
    <cellStyle name="Comma 3 2" xfId="23" xr:uid="{00000000-0005-0000-0000-00000F000000}"/>
    <cellStyle name="Comma 4" xfId="20" xr:uid="{00000000-0005-0000-0000-000010000000}"/>
    <cellStyle name="Hyperlink" xfId="19" builtinId="8"/>
    <cellStyle name="Normal" xfId="0" builtinId="0"/>
    <cellStyle name="Normal 10" xfId="44" xr:uid="{00000000-0005-0000-0000-000013000000}"/>
    <cellStyle name="Normal 11" xfId="45" xr:uid="{00000000-0005-0000-0000-000014000000}"/>
    <cellStyle name="Normal 12" xfId="48" xr:uid="{00000000-0005-0000-0000-000015000000}"/>
    <cellStyle name="Normal 13" xfId="74" xr:uid="{00000000-0005-0000-0000-000016000000}"/>
    <cellStyle name="Normal 14" xfId="55" xr:uid="{00000000-0005-0000-0000-000017000000}"/>
    <cellStyle name="Normal 15" xfId="53" xr:uid="{00000000-0005-0000-0000-000018000000}"/>
    <cellStyle name="Normal 16" xfId="54" xr:uid="{00000000-0005-0000-0000-000019000000}"/>
    <cellStyle name="Normal 17" xfId="52" xr:uid="{00000000-0005-0000-0000-00001A000000}"/>
    <cellStyle name="Normal 18" xfId="50" xr:uid="{00000000-0005-0000-0000-00001B000000}"/>
    <cellStyle name="Normal 19" xfId="51" xr:uid="{00000000-0005-0000-0000-00001C000000}"/>
    <cellStyle name="Normal 2" xfId="7" xr:uid="{00000000-0005-0000-0000-00001D000000}"/>
    <cellStyle name="Normal 2 10" xfId="46" xr:uid="{00000000-0005-0000-0000-00001E000000}"/>
    <cellStyle name="Normal 2 11" xfId="47" xr:uid="{00000000-0005-0000-0000-00001F000000}"/>
    <cellStyle name="Normal 2 12" xfId="66" xr:uid="{00000000-0005-0000-0000-000020000000}"/>
    <cellStyle name="Normal 2 13" xfId="63" xr:uid="{00000000-0005-0000-0000-000021000000}"/>
    <cellStyle name="Normal 2 14" xfId="71" xr:uid="{00000000-0005-0000-0000-000022000000}"/>
    <cellStyle name="Normal 2 2" xfId="14" xr:uid="{00000000-0005-0000-0000-000023000000}"/>
    <cellStyle name="Normal 2 2 2" xfId="6" xr:uid="{00000000-0005-0000-0000-000024000000}"/>
    <cellStyle name="Normal 2 2 3" xfId="24" xr:uid="{00000000-0005-0000-0000-000025000000}"/>
    <cellStyle name="Normal 2 3" xfId="15" xr:uid="{00000000-0005-0000-0000-000026000000}"/>
    <cellStyle name="Normal 2 4" xfId="5" xr:uid="{00000000-0005-0000-0000-000027000000}"/>
    <cellStyle name="Normal 2 5" xfId="32" xr:uid="{00000000-0005-0000-0000-000028000000}"/>
    <cellStyle name="Normal 2 6" xfId="36" xr:uid="{00000000-0005-0000-0000-000029000000}"/>
    <cellStyle name="Normal 2 7" xfId="39" xr:uid="{00000000-0005-0000-0000-00002A000000}"/>
    <cellStyle name="Normal 2 8" xfId="59" xr:uid="{00000000-0005-0000-0000-00002B000000}"/>
    <cellStyle name="Normal 2 9" xfId="70" xr:uid="{00000000-0005-0000-0000-00002C000000}"/>
    <cellStyle name="Normal 20" xfId="49" xr:uid="{00000000-0005-0000-0000-00002D000000}"/>
    <cellStyle name="Normal 3" xfId="8" xr:uid="{00000000-0005-0000-0000-00002E000000}"/>
    <cellStyle name="Normal 3 10" xfId="73" xr:uid="{00000000-0005-0000-0000-00002F000000}"/>
    <cellStyle name="Normal 3 11" xfId="78" xr:uid="{00000000-0005-0000-0000-000030000000}"/>
    <cellStyle name="Normal 3 12" xfId="57" xr:uid="{00000000-0005-0000-0000-000031000000}"/>
    <cellStyle name="Normal 3 2" xfId="16" xr:uid="{00000000-0005-0000-0000-000032000000}"/>
    <cellStyle name="Normal 3 3" xfId="27" xr:uid="{00000000-0005-0000-0000-000033000000}"/>
    <cellStyle name="Normal 3 4" xfId="30" xr:uid="{00000000-0005-0000-0000-000034000000}"/>
    <cellStyle name="Normal 3 5" xfId="33" xr:uid="{00000000-0005-0000-0000-000035000000}"/>
    <cellStyle name="Normal 3 6" xfId="37" xr:uid="{00000000-0005-0000-0000-000036000000}"/>
    <cellStyle name="Normal 3 7" xfId="40" xr:uid="{00000000-0005-0000-0000-000037000000}"/>
    <cellStyle name="Normal 3 8" xfId="60" xr:uid="{00000000-0005-0000-0000-000038000000}"/>
    <cellStyle name="Normal 3 9" xfId="68" xr:uid="{00000000-0005-0000-0000-000039000000}"/>
    <cellStyle name="Normal 4" xfId="4" xr:uid="{00000000-0005-0000-0000-00003A000000}"/>
    <cellStyle name="Normal 4 2" xfId="18" xr:uid="{00000000-0005-0000-0000-00003B000000}"/>
    <cellStyle name="Normal 4 3" xfId="56" xr:uid="{00000000-0005-0000-0000-00003C000000}"/>
    <cellStyle name="Normal 4 4" xfId="80" xr:uid="{00000000-0005-0000-0000-00003D000000}"/>
    <cellStyle name="Normal 5" xfId="3" xr:uid="{00000000-0005-0000-0000-00003E000000}"/>
    <cellStyle name="Normal 6" xfId="76" xr:uid="{00000000-0005-0000-0000-00003F000000}"/>
    <cellStyle name="Normal 7" xfId="79" xr:uid="{00000000-0005-0000-0000-000040000000}"/>
    <cellStyle name="Normal 8" xfId="42" xr:uid="{00000000-0005-0000-0000-000041000000}"/>
    <cellStyle name="Normal 9" xfId="43" xr:uid="{00000000-0005-0000-0000-000042000000}"/>
    <cellStyle name="Percent" xfId="2" builtinId="5"/>
    <cellStyle name="Percent 2" xfId="9" xr:uid="{00000000-0005-0000-0000-000044000000}"/>
    <cellStyle name="Percent 2 10" xfId="65" xr:uid="{00000000-0005-0000-0000-000045000000}"/>
    <cellStyle name="Percent 2 11" xfId="67" xr:uid="{00000000-0005-0000-0000-000046000000}"/>
    <cellStyle name="Percent 2 12" xfId="77" xr:uid="{00000000-0005-0000-0000-000047000000}"/>
    <cellStyle name="Percent 2 2" xfId="17" xr:uid="{00000000-0005-0000-0000-000048000000}"/>
    <cellStyle name="Percent 2 3" xfId="29" xr:uid="{00000000-0005-0000-0000-000049000000}"/>
    <cellStyle name="Percent 2 4" xfId="31" xr:uid="{00000000-0005-0000-0000-00004A000000}"/>
    <cellStyle name="Percent 2 5" xfId="34" xr:uid="{00000000-0005-0000-0000-00004B000000}"/>
    <cellStyle name="Percent 2 6" xfId="38" xr:uid="{00000000-0005-0000-0000-00004C000000}"/>
    <cellStyle name="Percent 2 7" xfId="41" xr:uid="{00000000-0005-0000-0000-00004D000000}"/>
    <cellStyle name="Percent 2 8" xfId="62" xr:uid="{00000000-0005-0000-0000-00004E000000}"/>
    <cellStyle name="Percent 2 9" xfId="61" xr:uid="{00000000-0005-0000-0000-00004F000000}"/>
    <cellStyle name="Percent 3" xfId="11" xr:uid="{00000000-0005-0000-0000-00005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drawings/drawing1.xml><?xml version="1.0" encoding="utf-8"?>
<xdr:wsDr xmlns:xdr="http://schemas.openxmlformats.org/drawingml/2006/spreadsheetDrawing" xmlns:a="http://schemas.openxmlformats.org/drawingml/2006/main">
  <xdr:twoCellAnchor>
    <xdr:from>
      <xdr:col>3</xdr:col>
      <xdr:colOff>408305</xdr:colOff>
      <xdr:row>4</xdr:row>
      <xdr:rowOff>115570</xdr:rowOff>
    </xdr:from>
    <xdr:to>
      <xdr:col>5</xdr:col>
      <xdr:colOff>772583</xdr:colOff>
      <xdr:row>12</xdr:row>
      <xdr:rowOff>101459</xdr:rowOff>
    </xdr:to>
    <xdr:sp macro="" textlink="">
      <xdr:nvSpPr>
        <xdr:cNvPr id="2" name="Line Callout 1 1">
          <a:extLst>
            <a:ext uri="{FF2B5EF4-FFF2-40B4-BE49-F238E27FC236}">
              <a16:creationId xmlns:a16="http://schemas.microsoft.com/office/drawing/2014/main" id="{00000000-0008-0000-0200-000002000000}"/>
            </a:ext>
          </a:extLst>
        </xdr:cNvPr>
        <xdr:cNvSpPr/>
      </xdr:nvSpPr>
      <xdr:spPr>
        <a:xfrm>
          <a:off x="6684222" y="1089237"/>
          <a:ext cx="2205778" cy="2049639"/>
        </a:xfrm>
        <a:prstGeom prst="borderCallout1">
          <a:avLst>
            <a:gd name="adj1" fmla="val 18750"/>
            <a:gd name="adj2" fmla="val -8333"/>
            <a:gd name="adj3" fmla="val 66684"/>
            <a:gd name="adj4" fmla="val -341564"/>
          </a:avLst>
        </a:prstGeom>
        <a:ln w="12700"/>
      </xdr:spPr>
      <xdr:style>
        <a:lnRef idx="2">
          <a:schemeClr val="dk1"/>
        </a:lnRef>
        <a:fillRef idx="1">
          <a:schemeClr val="lt1"/>
        </a:fillRef>
        <a:effectRef idx="0">
          <a:schemeClr val="dk1"/>
        </a:effectRef>
        <a:fontRef idx="minor">
          <a:schemeClr val="dk1"/>
        </a:fontRef>
      </xdr:style>
      <xdr:txBody>
        <a:bodyPr rtlCol="0" anchor="ctr"/>
        <a:lstStyle/>
        <a:p>
          <a:pPr algn="ctr">
            <a:lnSpc>
              <a:spcPts val="1400"/>
            </a:lnSpc>
          </a:pPr>
          <a:r>
            <a:rPr lang="en-US" sz="1200"/>
            <a:t>Revenue Resource Generated at Unit (-) Revenue</a:t>
          </a:r>
          <a:r>
            <a:rPr lang="en-US" sz="1200" baseline="0"/>
            <a:t> utilized towards Revenue Expenditure (-) Recovery of Loans &amp; Advances</a:t>
          </a:r>
        </a:p>
        <a:p>
          <a:pPr algn="ctr">
            <a:lnSpc>
              <a:spcPts val="1000"/>
            </a:lnSpc>
          </a:pPr>
          <a:endParaRPr lang="en-US" sz="1200"/>
        </a:p>
        <a:p>
          <a:pPr algn="ctr">
            <a:lnSpc>
              <a:spcPts val="1000"/>
            </a:lnSpc>
          </a:pPr>
          <a:r>
            <a:rPr lang="en-US" sz="1200" b="1"/>
            <a:t>15589429-0-2119986=13469443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3" Type="http://schemas.openxmlformats.org/officeDocument/2006/relationships/hyperlink" Target="https://pfms.nic.in/ImplementingAgency/FundsIncome/FundsFromOtherAgency.aspx?id=4pk6HkJuffSTZZtXNECgfQ==&amp;PName=XRxMAKIUHS4=&amp;RID=zU9zD9Fh5Z4=" TargetMode="External"/><Relationship Id="rId18" Type="http://schemas.openxmlformats.org/officeDocument/2006/relationships/hyperlink" Target="https://pfms.nic.in/ImplementingAgency/FundsIncome/FundsFromOtherAgency.aspx?id=xbnbA7elGj2Sav8Eggaa1Q==&amp;PName=XRxMAKIUHS4=&amp;RID=zU9zD9Fh5Z4=" TargetMode="External"/><Relationship Id="rId26" Type="http://schemas.openxmlformats.org/officeDocument/2006/relationships/hyperlink" Target="https://pfms.nic.in/ImplementingAgency/FundsIncome/FundsFromOtherAgency.aspx?id=IPI50imSKVTCATLRsPEmDw==&amp;PName=XRxMAKIUHS4=&amp;RID=zU9zD9Fh5Z4=" TargetMode="External"/><Relationship Id="rId39" Type="http://schemas.openxmlformats.org/officeDocument/2006/relationships/hyperlink" Target="https://pfms.nic.in/ImplementingAgency/FundsIncome/FundsFromOtherAgency.aspx?id=bxmGNuizBPoLloH+c68BSQ==&amp;PName=XRxMAKIUHS4=&amp;RID=zU9zD9Fh5Z4=" TargetMode="External"/><Relationship Id="rId21" Type="http://schemas.openxmlformats.org/officeDocument/2006/relationships/hyperlink" Target="https://pfms.nic.in/ImplementingAgency/FundsIncome/FundsFromOtherAgency.aspx?id=lREGumkItNDRXMtMj0IRBQ==&amp;PName=XRxMAKIUHS4=&amp;RID=zU9zD9Fh5Z4=" TargetMode="External"/><Relationship Id="rId34" Type="http://schemas.openxmlformats.org/officeDocument/2006/relationships/hyperlink" Target="https://pfms.nic.in/ImplementingAgency/FundsIncome/FundsFromOtherAgency.aspx?id=Slxv3KMLfidmnS+UYoLFiA==&amp;PName=XRxMAKIUHS4=&amp;RID=zU9zD9Fh5Z4=" TargetMode="External"/><Relationship Id="rId7" Type="http://schemas.openxmlformats.org/officeDocument/2006/relationships/hyperlink" Target="https://pfms.nic.in/ImplementingAgency/FundsIncome/FundsFromOtherAgency.aspx?id=FNJemQNOVp8lr5SJEVx4lw==&amp;PName=XRxMAKIUHS4=&amp;RID=zU9zD9Fh5Z4=" TargetMode="External"/><Relationship Id="rId2" Type="http://schemas.openxmlformats.org/officeDocument/2006/relationships/hyperlink" Target="https://pfms.nic.in/ImplementingAgency/FundsIncome/FundsFromOtherAgency.aspx?id=BZlyWTbYhC3nUZZvSPHsEA==&amp;PName=XRxMAKIUHS4=&amp;RID=zU9zD9Fh5Z4=" TargetMode="External"/><Relationship Id="rId16" Type="http://schemas.openxmlformats.org/officeDocument/2006/relationships/hyperlink" Target="https://pfms.nic.in/ImplementingAgency/FundsIncome/FundsFromOtherAgency.aspx?id=pvgHCN/sE6F93zuaqdAM2Q==&amp;PName=XRxMAKIUHS4=&amp;RID=zU9zD9Fh5Z4=" TargetMode="External"/><Relationship Id="rId20" Type="http://schemas.openxmlformats.org/officeDocument/2006/relationships/hyperlink" Target="https://pfms.nic.in/ImplementingAgency/FundsIncome/FundsFromOtherAgency.aspx?id=7nDrfRrvghKhQ8QWtHNheA==&amp;PName=XRxMAKIUHS4=&amp;RID=zU9zD9Fh5Z4=" TargetMode="External"/><Relationship Id="rId29" Type="http://schemas.openxmlformats.org/officeDocument/2006/relationships/hyperlink" Target="https://pfms.nic.in/ImplementingAgency/FundsIncome/FundsFromOtherAgency.aspx?id=CffE7Z4oOIlJudVQ+ZjgIQ==&amp;PName=XRxMAKIUHS4=&amp;RID=zU9zD9Fh5Z4=" TargetMode="External"/><Relationship Id="rId41" Type="http://schemas.openxmlformats.org/officeDocument/2006/relationships/printerSettings" Target="../printerSettings/printerSettings53.bin"/><Relationship Id="rId1" Type="http://schemas.openxmlformats.org/officeDocument/2006/relationships/hyperlink" Target="https://pfms.nic.in/ImplementingAgency/FundsIncome/FundsFromOtherAgency.aspx?id=7IZJv2Yk2d0rns2SWW5fYQ==&amp;PName=XRxMAKIUHS4=&amp;RID=zU9zD9Fh5Z4=" TargetMode="External"/><Relationship Id="rId6" Type="http://schemas.openxmlformats.org/officeDocument/2006/relationships/hyperlink" Target="https://pfms.nic.in/ImplementingAgency/FundsIncome/FundsFromOtherAgency.aspx?id=LXRfXIyK2aZkZgB5WPKh6g==&amp;PName=XRxMAKIUHS4=&amp;RID=zU9zD9Fh5Z4=" TargetMode="External"/><Relationship Id="rId11" Type="http://schemas.openxmlformats.org/officeDocument/2006/relationships/hyperlink" Target="https://pfms.nic.in/ImplementingAgency/FundsIncome/FundsFromOtherAgency.aspx?id=Vzf9GLlfRLhYPmVbS6H8tQ==&amp;PName=XRxMAKIUHS4=&amp;RID=zU9zD9Fh5Z4=" TargetMode="External"/><Relationship Id="rId24" Type="http://schemas.openxmlformats.org/officeDocument/2006/relationships/hyperlink" Target="https://pfms.nic.in/ImplementingAgency/FundsIncome/FundsFromOtherAgency.aspx?id=Yt/Li+2y44QXj2NiJBYuPw==&amp;PName=XRxMAKIUHS4=&amp;RID=zU9zD9Fh5Z4=" TargetMode="External"/><Relationship Id="rId32" Type="http://schemas.openxmlformats.org/officeDocument/2006/relationships/hyperlink" Target="https://pfms.nic.in/ImplementingAgency/FundsIncome/FundsFromOtherAgency.aspx?id=XYQig12M3p9HW4BnQZXQaw==&amp;PName=XRxMAKIUHS4=&amp;RID=zU9zD9Fh5Z4=" TargetMode="External"/><Relationship Id="rId37" Type="http://schemas.openxmlformats.org/officeDocument/2006/relationships/hyperlink" Target="https://pfms.nic.in/ImplementingAgency/FundsIncome/FundsFromOtherAgency.aspx?id=chRohNNSB7eBMYCtfDuUNQ==&amp;PName=XRxMAKIUHS4=&amp;RID=zU9zD9Fh5Z4=" TargetMode="External"/><Relationship Id="rId40" Type="http://schemas.openxmlformats.org/officeDocument/2006/relationships/hyperlink" Target="https://pfms.nic.in/ImplementingAgency/FundsIncome/FundsFromOtherAgency.aspx?id=OhtSOSp5LxH0dzMNs1s50g==&amp;PName=XRxMAKIUHS4=&amp;RID=zU9zD9Fh5Z4=" TargetMode="External"/><Relationship Id="rId5" Type="http://schemas.openxmlformats.org/officeDocument/2006/relationships/hyperlink" Target="https://pfms.nic.in/ImplementingAgency/FundsIncome/FundsFromOtherAgency.aspx?id=b9kZiiLZcJExSH8/kL9woA==&amp;PName=XRxMAKIUHS4=&amp;RID=zU9zD9Fh5Z4=" TargetMode="External"/><Relationship Id="rId15" Type="http://schemas.openxmlformats.org/officeDocument/2006/relationships/hyperlink" Target="https://pfms.nic.in/ImplementingAgency/FundsIncome/FundsFromOtherAgency.aspx?id=+j+7/d1TxoLda9uvc/d5Gw==&amp;PName=XRxMAKIUHS4=&amp;RID=zU9zD9Fh5Z4=" TargetMode="External"/><Relationship Id="rId23" Type="http://schemas.openxmlformats.org/officeDocument/2006/relationships/hyperlink" Target="https://pfms.nic.in/ImplementingAgency/FundsIncome/FundsFromOtherAgency.aspx?id=WzCPex426dy4f0nKQcyeNA==&amp;PName=XRxMAKIUHS4=&amp;RID=zU9zD9Fh5Z4=" TargetMode="External"/><Relationship Id="rId28" Type="http://schemas.openxmlformats.org/officeDocument/2006/relationships/hyperlink" Target="https://pfms.nic.in/ImplementingAgency/FundsIncome/FundsFromOtherAgency.aspx?id=x/cwTTYt6fqM55SJtgkWBQ==&amp;PName=XRxMAKIUHS4=&amp;RID=zU9zD9Fh5Z4=" TargetMode="External"/><Relationship Id="rId36" Type="http://schemas.openxmlformats.org/officeDocument/2006/relationships/hyperlink" Target="https://pfms.nic.in/ImplementingAgency/FundsIncome/FundsFromOtherAgency.aspx?id=r9BwL7PP0CLFj+Lb9Am8/Q==&amp;PName=XRxMAKIUHS4=&amp;RID=zU9zD9Fh5Z4=" TargetMode="External"/><Relationship Id="rId10" Type="http://schemas.openxmlformats.org/officeDocument/2006/relationships/hyperlink" Target="https://pfms.nic.in/ImplementingAgency/FundsIncome/FundsFromOtherAgency.aspx?id=1nNhYw3JhA9wp5Ly9v4NnA==&amp;PName=XRxMAKIUHS4=&amp;RID=zU9zD9Fh5Z4=" TargetMode="External"/><Relationship Id="rId19" Type="http://schemas.openxmlformats.org/officeDocument/2006/relationships/hyperlink" Target="https://pfms.nic.in/ImplementingAgency/FundsIncome/FundsFromOtherAgency.aspx?id=kDQ18IUbeAEEOKH+g9q/Vw==&amp;PName=XRxMAKIUHS4=&amp;RID=zU9zD9Fh5Z4=" TargetMode="External"/><Relationship Id="rId31" Type="http://schemas.openxmlformats.org/officeDocument/2006/relationships/hyperlink" Target="https://pfms.nic.in/ImplementingAgency/FundsIncome/FundsFromOtherAgency.aspx?id=Cj+Ed5ihxXqdrfjvfGM4yA==&amp;PName=XRxMAKIUHS4=&amp;RID=zU9zD9Fh5Z4=" TargetMode="External"/><Relationship Id="rId4" Type="http://schemas.openxmlformats.org/officeDocument/2006/relationships/hyperlink" Target="https://pfms.nic.in/ImplementingAgency/FundsIncome/FundsFromOtherAgency.aspx?id=nWyakwPvrjabO90y2O/4dQ==&amp;PName=XRxMAKIUHS4=&amp;RID=zU9zD9Fh5Z4=" TargetMode="External"/><Relationship Id="rId9" Type="http://schemas.openxmlformats.org/officeDocument/2006/relationships/hyperlink" Target="https://pfms.nic.in/ImplementingAgency/FundsIncome/FundsFromOtherAgency.aspx?id=EnDiKAmP4G5d3LEAs6G/Sg==&amp;PName=XRxMAKIUHS4=&amp;RID=zU9zD9Fh5Z4=" TargetMode="External"/><Relationship Id="rId14" Type="http://schemas.openxmlformats.org/officeDocument/2006/relationships/hyperlink" Target="https://pfms.nic.in/ImplementingAgency/FundsIncome/FundsFromOtherAgency.aspx?id=QXoEigzNj27ZBqmKZMwhRg==&amp;PName=XRxMAKIUHS4=&amp;RID=zU9zD9Fh5Z4=" TargetMode="External"/><Relationship Id="rId22" Type="http://schemas.openxmlformats.org/officeDocument/2006/relationships/hyperlink" Target="https://pfms.nic.in/ImplementingAgency/FundsIncome/FundsFromOtherAgency.aspx?id=creGFb+b5D6jILCEBpxRqg==&amp;PName=XRxMAKIUHS4=&amp;RID=zU9zD9Fh5Z4=" TargetMode="External"/><Relationship Id="rId27" Type="http://schemas.openxmlformats.org/officeDocument/2006/relationships/hyperlink" Target="https://pfms.nic.in/ImplementingAgency/FundsIncome/FundsFromOtherAgency.aspx?id=uE9DF1yGRB1ehaooMMVlvA==&amp;PName=XRxMAKIUHS4=&amp;RID=zU9zD9Fh5Z4=" TargetMode="External"/><Relationship Id="rId30" Type="http://schemas.openxmlformats.org/officeDocument/2006/relationships/hyperlink" Target="https://pfms.nic.in/ImplementingAgency/FundsIncome/FundsFromOtherAgency.aspx?id=LgKzB9r9K25Bogvil877Iw==&amp;PName=XRxMAKIUHS4=&amp;RID=zU9zD9Fh5Z4=" TargetMode="External"/><Relationship Id="rId35" Type="http://schemas.openxmlformats.org/officeDocument/2006/relationships/hyperlink" Target="https://pfms.nic.in/ImplementingAgency/FundsIncome/FundsFromOtherAgency.aspx?id=/N+/PYn5zjtguVGHQuevvQ==&amp;PName=XRxMAKIUHS4=&amp;RID=zU9zD9Fh5Z4=" TargetMode="External"/><Relationship Id="rId8" Type="http://schemas.openxmlformats.org/officeDocument/2006/relationships/hyperlink" Target="https://pfms.nic.in/ImplementingAgency/FundsIncome/FundsFromOtherAgency.aspx?id=fbkyZCytSZ3/WU6FRQUEmQ==&amp;PName=XRxMAKIUHS4=&amp;RID=zU9zD9Fh5Z4=" TargetMode="External"/><Relationship Id="rId3" Type="http://schemas.openxmlformats.org/officeDocument/2006/relationships/hyperlink" Target="https://pfms.nic.in/ImplementingAgency/FundsIncome/FundsFromOtherAgency.aspx?id=ECXlHwqCSKo6MnHBuIQOjQ==&amp;PName=XRxMAKIUHS4=&amp;RID=zU9zD9Fh5Z4=" TargetMode="External"/><Relationship Id="rId12" Type="http://schemas.openxmlformats.org/officeDocument/2006/relationships/hyperlink" Target="https://pfms.nic.in/ImplementingAgency/FundsIncome/FundsFromOtherAgency.aspx?id=uQyJ5jP1L42T/frvIPGpjA==&amp;PName=XRxMAKIUHS4=&amp;RID=zU9zD9Fh5Z4=" TargetMode="External"/><Relationship Id="rId17" Type="http://schemas.openxmlformats.org/officeDocument/2006/relationships/hyperlink" Target="https://pfms.nic.in/ImplementingAgency/FundsIncome/FundsFromOtherAgency.aspx?id=Q2AAlZiqy4mabtvQ0qVwMw==&amp;PName=XRxMAKIUHS4=&amp;RID=zU9zD9Fh5Z4=" TargetMode="External"/><Relationship Id="rId25" Type="http://schemas.openxmlformats.org/officeDocument/2006/relationships/hyperlink" Target="https://pfms.nic.in/ImplementingAgency/FundsIncome/FundsFromOtherAgency.aspx?id=Z1rFN4no+d4HbwQiZT4LQA==&amp;PName=XRxMAKIUHS4=&amp;RID=zU9zD9Fh5Z4=" TargetMode="External"/><Relationship Id="rId33" Type="http://schemas.openxmlformats.org/officeDocument/2006/relationships/hyperlink" Target="https://pfms.nic.in/ImplementingAgency/FundsIncome/FundsFromOtherAgency.aspx?id=UXi4kAYTLWaEy9Hiczgfsw==&amp;PName=XRxMAKIUHS4=&amp;RID=zU9zD9Fh5Z4=" TargetMode="External"/><Relationship Id="rId38" Type="http://schemas.openxmlformats.org/officeDocument/2006/relationships/hyperlink" Target="https://pfms.nic.in/ImplementingAgency/FundsIncome/FundsFromOtherAgency.aspx?id=pvgHCN/sE6F93zuaqdAM2Q==&amp;PName=XRxMAKIUHS4=&amp;RID=zU9zD9Fh5Z4=" TargetMode="External"/></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3"/>
  <sheetViews>
    <sheetView view="pageBreakPreview" topLeftCell="A17" zoomScale="115" zoomScaleNormal="100" zoomScaleSheetLayoutView="115" workbookViewId="0">
      <selection activeCell="A35" sqref="A35"/>
    </sheetView>
  </sheetViews>
  <sheetFormatPr defaultColWidth="34" defaultRowHeight="12.75"/>
  <cols>
    <col min="1" max="1" width="43" style="380" customWidth="1"/>
    <col min="2" max="2" width="12.42578125" style="203" customWidth="1"/>
    <col min="3" max="3" width="16.140625" customWidth="1"/>
    <col min="4" max="4" width="22.140625" customWidth="1"/>
    <col min="6" max="6" width="15.7109375" customWidth="1"/>
  </cols>
  <sheetData>
    <row r="1" spans="1:5" ht="15.75">
      <c r="A1" s="1322" t="s">
        <v>1910</v>
      </c>
      <c r="B1" s="1323"/>
      <c r="C1" s="1323"/>
      <c r="D1" s="1323"/>
    </row>
    <row r="2" spans="1:5" ht="15.75">
      <c r="A2" s="1322" t="s">
        <v>1</v>
      </c>
      <c r="B2" s="1322"/>
      <c r="C2" s="1322"/>
      <c r="D2" s="1322"/>
    </row>
    <row r="3" spans="1:5" ht="10.5" customHeight="1">
      <c r="A3" s="1322"/>
      <c r="B3" s="1322"/>
      <c r="C3" s="1322"/>
      <c r="D3" s="1322"/>
    </row>
    <row r="4" spans="1:5" ht="18.75">
      <c r="A4" s="1322" t="s">
        <v>2</v>
      </c>
      <c r="B4" s="1322"/>
      <c r="C4" s="1322"/>
      <c r="D4" s="1322"/>
    </row>
    <row r="5" spans="1:5" ht="15.75">
      <c r="A5" s="383"/>
      <c r="B5" s="383"/>
      <c r="C5" s="383"/>
      <c r="D5" s="646" t="s">
        <v>3</v>
      </c>
    </row>
    <row r="6" spans="1:5" s="402" customFormat="1" ht="24.75" customHeight="1">
      <c r="A6" s="1329" t="s">
        <v>4</v>
      </c>
      <c r="B6" s="1330"/>
      <c r="C6" s="1330"/>
      <c r="D6" s="1331"/>
    </row>
    <row r="7" spans="1:5" s="380" customFormat="1" ht="15.95" customHeight="1">
      <c r="A7" s="1079"/>
      <c r="B7" s="1080" t="s">
        <v>5</v>
      </c>
      <c r="C7" s="1080" t="s">
        <v>6</v>
      </c>
      <c r="D7" s="1081" t="s">
        <v>7</v>
      </c>
    </row>
    <row r="8" spans="1:5" s="402" customFormat="1" ht="15.95" customHeight="1">
      <c r="A8" s="1082"/>
      <c r="B8" s="1083"/>
      <c r="C8" s="1084"/>
      <c r="D8" s="1085"/>
    </row>
    <row r="9" spans="1:5" s="402" customFormat="1" ht="15.95" customHeight="1">
      <c r="A9" s="393" t="s">
        <v>8</v>
      </c>
      <c r="B9" s="746">
        <v>1</v>
      </c>
      <c r="C9" s="394">
        <f>+'(3) sch1&amp;2'!B12</f>
        <v>569012401.42999995</v>
      </c>
      <c r="D9" s="395">
        <f>+'(3) sch1&amp;2'!C12</f>
        <v>602102076</v>
      </c>
    </row>
    <row r="10" spans="1:5" s="402" customFormat="1" ht="15.95" customHeight="1">
      <c r="A10" s="393"/>
      <c r="B10" s="746"/>
      <c r="C10" s="394"/>
      <c r="D10" s="395"/>
    </row>
    <row r="11" spans="1:5" s="402" customFormat="1" ht="15.95" customHeight="1">
      <c r="A11" s="393" t="s">
        <v>9</v>
      </c>
      <c r="B11" s="746">
        <v>2</v>
      </c>
      <c r="C11" s="394">
        <f>+'(3) sch1&amp;2'!B20</f>
        <v>0</v>
      </c>
      <c r="D11" s="395">
        <f>+'(3) sch1&amp;2'!C20</f>
        <v>0</v>
      </c>
    </row>
    <row r="12" spans="1:5" s="402" customFormat="1" ht="15.95" customHeight="1">
      <c r="A12" s="393"/>
      <c r="B12" s="746"/>
      <c r="C12" s="394"/>
      <c r="D12" s="395"/>
    </row>
    <row r="13" spans="1:5" s="402" customFormat="1" ht="15.95" customHeight="1">
      <c r="A13" s="393" t="s">
        <v>10</v>
      </c>
      <c r="B13" s="746">
        <v>3</v>
      </c>
      <c r="C13" s="394">
        <f>+'(4) sch3'!D23</f>
        <v>3851108</v>
      </c>
      <c r="D13" s="395">
        <f>+'(4) sch3'!E23</f>
        <v>3829393</v>
      </c>
    </row>
    <row r="14" spans="1:5" s="402" customFormat="1" ht="15.95" customHeight="1">
      <c r="A14" s="393"/>
      <c r="B14" s="746"/>
      <c r="C14" s="394"/>
      <c r="D14" s="395"/>
    </row>
    <row r="15" spans="1:5" s="402" customFormat="1" ht="15.95" customHeight="1">
      <c r="A15" s="393" t="s">
        <v>11</v>
      </c>
      <c r="B15" s="746">
        <v>4</v>
      </c>
      <c r="C15" s="394">
        <f>+'(6) sch4'!B36</f>
        <v>117636018</v>
      </c>
      <c r="D15" s="395">
        <f>+'(6) sch4'!C36</f>
        <v>91147719</v>
      </c>
      <c r="E15" s="799"/>
    </row>
    <row r="16" spans="1:5" s="402" customFormat="1" ht="15.95" customHeight="1">
      <c r="A16" s="863"/>
      <c r="B16" s="746"/>
      <c r="C16" s="394"/>
      <c r="D16" s="1086"/>
    </row>
    <row r="17" spans="1:6" s="402" customFormat="1" ht="15.95" customHeight="1">
      <c r="A17" s="863" t="s">
        <v>12</v>
      </c>
      <c r="B17" s="83"/>
      <c r="C17" s="529">
        <f>SUM(C9:C16)</f>
        <v>690499527.42999995</v>
      </c>
      <c r="D17" s="1087">
        <f>SUM(D9:D16)</f>
        <v>697079188</v>
      </c>
      <c r="E17" s="799"/>
    </row>
    <row r="18" spans="1:6" s="402" customFormat="1" ht="15.95" customHeight="1">
      <c r="A18" s="397"/>
      <c r="B18" s="746"/>
      <c r="C18" s="394"/>
      <c r="D18" s="1086"/>
      <c r="E18" s="876"/>
    </row>
    <row r="19" spans="1:6" s="402" customFormat="1" ht="26.25" customHeight="1">
      <c r="A19" s="1324" t="s">
        <v>13</v>
      </c>
      <c r="B19" s="1325"/>
      <c r="C19" s="1325"/>
      <c r="D19" s="1326"/>
    </row>
    <row r="20" spans="1:6" s="402" customFormat="1" ht="15.95" customHeight="1">
      <c r="A20" s="397"/>
      <c r="B20" s="746"/>
      <c r="C20" s="394"/>
      <c r="D20" s="1086"/>
    </row>
    <row r="21" spans="1:6" s="402" customFormat="1" ht="15.95" customHeight="1">
      <c r="A21" s="393" t="s">
        <v>14</v>
      </c>
      <c r="B21" s="746">
        <v>5</v>
      </c>
      <c r="C21" s="394">
        <f>+'(8) sch-5'!J48</f>
        <v>547704290.42999995</v>
      </c>
      <c r="D21" s="395">
        <f>+'(8) sch-5'!K48</f>
        <v>566973676</v>
      </c>
      <c r="E21" s="876"/>
    </row>
    <row r="22" spans="1:6" s="402" customFormat="1" ht="15.95" customHeight="1">
      <c r="A22" s="393"/>
      <c r="B22" s="746"/>
      <c r="C22" s="394"/>
      <c r="D22" s="395"/>
      <c r="E22" s="1088"/>
    </row>
    <row r="23" spans="1:6" s="402" customFormat="1" ht="15.95" customHeight="1">
      <c r="A23" s="393" t="s">
        <v>15</v>
      </c>
      <c r="B23" s="746">
        <v>6</v>
      </c>
      <c r="C23" s="394">
        <f>+'(15) sch6'!B13</f>
        <v>0</v>
      </c>
      <c r="D23" s="395">
        <f>+'(15) sch6'!C13</f>
        <v>0</v>
      </c>
    </row>
    <row r="24" spans="1:6" s="402" customFormat="1" ht="15.95" customHeight="1">
      <c r="A24" s="393"/>
      <c r="B24" s="746"/>
      <c r="C24" s="394"/>
      <c r="D24" s="395"/>
      <c r="F24" s="764"/>
    </row>
    <row r="25" spans="1:6" s="402" customFormat="1" ht="15.95" customHeight="1">
      <c r="A25" s="393" t="s">
        <v>16</v>
      </c>
      <c r="B25" s="746">
        <v>7</v>
      </c>
      <c r="C25" s="394">
        <f>+'(17) 7b'!B48</f>
        <v>142795237</v>
      </c>
      <c r="D25" s="395">
        <f>+'(17) 7b'!C48</f>
        <v>130105512</v>
      </c>
    </row>
    <row r="26" spans="1:6" s="402" customFormat="1" ht="15.95" customHeight="1">
      <c r="A26" s="397"/>
      <c r="B26" s="746"/>
      <c r="C26" s="394"/>
      <c r="D26" s="1086"/>
    </row>
    <row r="27" spans="1:6" s="402" customFormat="1" ht="15.95" customHeight="1">
      <c r="A27" s="863" t="s">
        <v>12</v>
      </c>
      <c r="B27" s="83"/>
      <c r="C27" s="529">
        <f>SUM(C21:C26)</f>
        <v>690499527.42999995</v>
      </c>
      <c r="D27" s="1087">
        <f>SUM(D21:D26)</f>
        <v>697079188</v>
      </c>
      <c r="E27" s="876"/>
      <c r="F27" s="876"/>
    </row>
    <row r="28" spans="1:6" s="402" customFormat="1" ht="13.5" customHeight="1">
      <c r="A28" s="397"/>
      <c r="B28" s="746"/>
      <c r="C28" s="391"/>
      <c r="D28" s="1089"/>
      <c r="E28" s="1090"/>
    </row>
    <row r="29" spans="1:6" s="402" customFormat="1">
      <c r="A29" s="1091" t="s">
        <v>17</v>
      </c>
      <c r="B29" s="1092">
        <v>22</v>
      </c>
      <c r="C29" s="1093"/>
      <c r="D29" s="1094"/>
      <c r="E29" s="783"/>
      <c r="F29" s="799"/>
    </row>
    <row r="30" spans="1:6" s="402" customFormat="1" ht="15.75" customHeight="1">
      <c r="A30" s="1095" t="s">
        <v>18</v>
      </c>
      <c r="B30" s="1096">
        <v>23</v>
      </c>
      <c r="C30" s="1097"/>
      <c r="D30" s="1098"/>
      <c r="E30" s="799"/>
    </row>
    <row r="31" spans="1:6" ht="7.5" customHeight="1">
      <c r="A31" s="356"/>
      <c r="B31" s="77"/>
      <c r="C31" s="324"/>
      <c r="D31" s="324"/>
    </row>
    <row r="32" spans="1:6" ht="7.5" customHeight="1">
      <c r="A32" s="356"/>
      <c r="B32" s="77"/>
      <c r="C32" s="324"/>
      <c r="D32" s="324"/>
    </row>
    <row r="33" spans="1:4" ht="7.5" customHeight="1">
      <c r="A33" s="356"/>
      <c r="B33" s="77"/>
      <c r="C33" s="324"/>
      <c r="D33" s="324"/>
    </row>
    <row r="34" spans="1:4" ht="19.5" customHeight="1">
      <c r="A34" s="356"/>
      <c r="B34" s="758"/>
      <c r="C34" s="324"/>
      <c r="D34" s="172"/>
    </row>
    <row r="35" spans="1:4" ht="45" customHeight="1">
      <c r="A35" s="356" t="s">
        <v>19</v>
      </c>
      <c r="B35" s="1327" t="s">
        <v>20</v>
      </c>
      <c r="C35" s="1327"/>
      <c r="D35" s="1327"/>
    </row>
    <row r="36" spans="1:4">
      <c r="A36" s="78"/>
      <c r="B36" s="78"/>
      <c r="C36" s="1328"/>
      <c r="D36" s="1328"/>
    </row>
    <row r="37" spans="1:4">
      <c r="C37" s="406"/>
    </row>
    <row r="42" spans="1:4">
      <c r="B42" s="1099"/>
      <c r="C42" s="402"/>
    </row>
    <row r="43" spans="1:4">
      <c r="C43" s="247"/>
      <c r="D43" s="247"/>
    </row>
  </sheetData>
  <customSheetViews>
    <customSheetView guid="{B1076A3F-74CA-4685-9B64-0249438E4A9A}" scale="115" showPageBreaks="1" printArea="1" view="pageBreakPreview" topLeftCell="A16">
      <selection activeCell="A36" sqref="A36"/>
      <pageMargins left="0" right="0" top="0" bottom="0" header="0.35433070866141703" footer="0.31496062992126"/>
      <printOptions horizontalCentered="1" verticalCentered="1"/>
      <pageSetup paperSize="9" scale="99" orientation="landscape"/>
      <headerFooter alignWithMargins="0"/>
    </customSheetView>
    <customSheetView guid="{789595AE-36A2-4B02-81C2-3D94932E7381}" scale="115" showPageBreaks="1" printArea="1" view="pageBreakPreview" topLeftCell="A16">
      <selection activeCell="A36" sqref="A36"/>
      <pageMargins left="0" right="0" top="0" bottom="0" header="0.35433070866141703" footer="0.31496062992126"/>
      <printOptions horizontalCentered="1" verticalCentered="1"/>
      <pageSetup paperSize="9" scale="99" orientation="landscape"/>
      <headerFooter alignWithMargins="0"/>
    </customSheetView>
  </customSheetViews>
  <mergeCells count="8">
    <mergeCell ref="A1:D1"/>
    <mergeCell ref="A19:D19"/>
    <mergeCell ref="B35:D35"/>
    <mergeCell ref="C36:D36"/>
    <mergeCell ref="A2:D2"/>
    <mergeCell ref="A3:D3"/>
    <mergeCell ref="A4:D4"/>
    <mergeCell ref="A6:D6"/>
  </mergeCells>
  <printOptions horizontalCentered="1" verticalCentered="1"/>
  <pageMargins left="0" right="0" top="0" bottom="0" header="0.35433070866141703" footer="0.31496062992126"/>
  <pageSetup paperSize="9" scale="9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61"/>
  <sheetViews>
    <sheetView view="pageBreakPreview" zoomScale="85" zoomScaleNormal="100" workbookViewId="0">
      <pane xSplit="1" ySplit="7" topLeftCell="B33" activePane="bottomRight" state="frozen"/>
      <selection pane="topRight"/>
      <selection pane="bottomLeft"/>
      <selection pane="bottomRight" activeCell="A2" sqref="A2:K2"/>
    </sheetView>
  </sheetViews>
  <sheetFormatPr defaultColWidth="23.28515625" defaultRowHeight="12.75"/>
  <cols>
    <col min="1" max="1" width="42.42578125" style="380" customWidth="1"/>
    <col min="2" max="2" width="13.28515625" style="402" customWidth="1"/>
    <col min="3" max="3" width="11.42578125" style="402" customWidth="1"/>
    <col min="4" max="4" width="14.28515625" style="402" customWidth="1"/>
    <col min="5" max="5" width="11.28515625" style="402" customWidth="1"/>
    <col min="6" max="6" width="12.85546875" style="402" customWidth="1"/>
    <col min="7" max="7" width="11" style="402" customWidth="1"/>
    <col min="8" max="8" width="17.42578125" style="402" customWidth="1"/>
    <col min="9" max="9" width="10.42578125" style="402" customWidth="1"/>
    <col min="10" max="10" width="10.85546875" style="402" customWidth="1"/>
    <col min="11" max="11" width="12.7109375" style="402" customWidth="1"/>
    <col min="12" max="12" width="12.42578125" style="402" hidden="1" customWidth="1"/>
    <col min="13" max="13" width="14.42578125" style="402" customWidth="1"/>
    <col min="14" max="14" width="11.5703125" style="402" customWidth="1"/>
    <col min="15" max="16384" width="23.28515625" style="402"/>
  </cols>
  <sheetData>
    <row r="1" spans="1:16" ht="15">
      <c r="A1" s="1405" t="s">
        <v>1910</v>
      </c>
      <c r="B1" s="1405"/>
      <c r="C1" s="1405"/>
      <c r="D1" s="1405"/>
      <c r="E1" s="1405"/>
      <c r="F1" s="1405"/>
      <c r="G1" s="1405"/>
      <c r="H1" s="1405"/>
      <c r="I1" s="1405"/>
      <c r="J1" s="1405"/>
      <c r="K1" s="1405"/>
    </row>
    <row r="2" spans="1:16" ht="15">
      <c r="A2" s="1405" t="s">
        <v>43</v>
      </c>
      <c r="B2" s="1405"/>
      <c r="C2" s="1405"/>
      <c r="D2" s="1405"/>
      <c r="E2" s="1405"/>
      <c r="F2" s="1405"/>
      <c r="G2" s="1405"/>
      <c r="H2" s="1405"/>
      <c r="I2" s="1405"/>
      <c r="J2" s="1405"/>
      <c r="K2" s="1405"/>
    </row>
    <row r="3" spans="1:16" ht="11.25" customHeight="1">
      <c r="A3" s="383"/>
      <c r="B3" s="356"/>
      <c r="C3" s="356"/>
      <c r="D3" s="356"/>
      <c r="E3" s="356"/>
      <c r="F3" s="356"/>
      <c r="G3" s="356"/>
      <c r="H3" s="356"/>
      <c r="I3" s="356"/>
      <c r="J3" s="1412" t="s">
        <v>68</v>
      </c>
      <c r="K3" s="1412"/>
    </row>
    <row r="4" spans="1:16" s="379" customFormat="1" ht="19.5">
      <c r="A4" s="928" t="s">
        <v>496</v>
      </c>
      <c r="B4" s="1396" t="s">
        <v>483</v>
      </c>
      <c r="C4" s="1396"/>
      <c r="D4" s="1396"/>
      <c r="E4" s="1396"/>
      <c r="F4" s="1396" t="s">
        <v>39</v>
      </c>
      <c r="G4" s="1396"/>
      <c r="H4" s="1396"/>
      <c r="I4" s="1396"/>
      <c r="J4" s="1396" t="s">
        <v>447</v>
      </c>
      <c r="K4" s="1396"/>
      <c r="L4" s="1397"/>
    </row>
    <row r="5" spans="1:16" s="887" customFormat="1" ht="12.75" customHeight="1">
      <c r="A5" s="1401" t="s">
        <v>448</v>
      </c>
      <c r="B5" s="1401" t="s">
        <v>449</v>
      </c>
      <c r="C5" s="1401" t="s">
        <v>450</v>
      </c>
      <c r="D5" s="1401" t="s">
        <v>451</v>
      </c>
      <c r="E5" s="1401" t="s">
        <v>452</v>
      </c>
      <c r="F5" s="1401" t="s">
        <v>453</v>
      </c>
      <c r="G5" s="1401" t="s">
        <v>454</v>
      </c>
      <c r="H5" s="1411" t="s">
        <v>455</v>
      </c>
      <c r="I5" s="1404" t="s">
        <v>485</v>
      </c>
      <c r="J5" s="1401" t="s">
        <v>457</v>
      </c>
      <c r="K5" s="1401" t="s">
        <v>458</v>
      </c>
      <c r="L5" s="1398"/>
    </row>
    <row r="6" spans="1:16" s="887" customFormat="1" ht="84.75" customHeight="1">
      <c r="A6" s="1401"/>
      <c r="B6" s="1401"/>
      <c r="C6" s="1401"/>
      <c r="D6" s="1401"/>
      <c r="E6" s="1401"/>
      <c r="F6" s="1401"/>
      <c r="G6" s="1401"/>
      <c r="H6" s="1401"/>
      <c r="I6" s="1404"/>
      <c r="J6" s="1401"/>
      <c r="K6" s="1401"/>
      <c r="L6" s="1398"/>
    </row>
    <row r="7" spans="1:16" s="379" customFormat="1">
      <c r="A7" s="926"/>
      <c r="B7" s="889">
        <v>1</v>
      </c>
      <c r="C7" s="889">
        <v>2</v>
      </c>
      <c r="D7" s="889">
        <v>3</v>
      </c>
      <c r="E7" s="889">
        <v>4</v>
      </c>
      <c r="F7" s="889">
        <v>5</v>
      </c>
      <c r="G7" s="889">
        <v>6</v>
      </c>
      <c r="H7" s="889">
        <v>7</v>
      </c>
      <c r="I7" s="889">
        <v>8</v>
      </c>
      <c r="J7" s="889">
        <v>9</v>
      </c>
      <c r="K7" s="889">
        <v>10</v>
      </c>
      <c r="L7" s="895"/>
    </row>
    <row r="8" spans="1:16" ht="15">
      <c r="A8" s="718" t="s">
        <v>459</v>
      </c>
      <c r="B8" s="394"/>
      <c r="C8" s="394"/>
      <c r="D8" s="394"/>
      <c r="E8" s="394"/>
      <c r="F8" s="394"/>
      <c r="G8" s="394"/>
      <c r="H8" s="394"/>
      <c r="I8" s="394"/>
      <c r="J8" s="394"/>
      <c r="K8" s="394"/>
      <c r="L8" s="897"/>
    </row>
    <row r="9" spans="1:16" ht="15">
      <c r="A9" s="718" t="s">
        <v>460</v>
      </c>
      <c r="B9" s="394"/>
      <c r="C9" s="394"/>
      <c r="D9" s="394"/>
      <c r="E9" s="394"/>
      <c r="F9" s="394"/>
      <c r="G9" s="394"/>
      <c r="H9" s="394"/>
      <c r="I9" s="394"/>
      <c r="J9" s="394"/>
      <c r="K9" s="394"/>
      <c r="L9" s="898"/>
    </row>
    <row r="10" spans="1:16" ht="15">
      <c r="A10" s="718" t="s">
        <v>461</v>
      </c>
      <c r="B10" s="394">
        <v>0</v>
      </c>
      <c r="C10" s="394">
        <v>0</v>
      </c>
      <c r="D10" s="394">
        <v>0</v>
      </c>
      <c r="E10" s="394">
        <f>B10+C10-D10</f>
        <v>0</v>
      </c>
      <c r="F10" s="276"/>
      <c r="G10" s="276"/>
      <c r="H10" s="276"/>
      <c r="I10" s="276"/>
      <c r="J10" s="342">
        <f>E10-I10</f>
        <v>0</v>
      </c>
      <c r="K10" s="347">
        <f>F10-J10</f>
        <v>0</v>
      </c>
      <c r="L10" s="898"/>
    </row>
    <row r="11" spans="1:16" ht="15">
      <c r="A11" s="718" t="s">
        <v>462</v>
      </c>
      <c r="B11" s="394">
        <v>0</v>
      </c>
      <c r="C11" s="394">
        <v>0</v>
      </c>
      <c r="D11" s="394">
        <v>0</v>
      </c>
      <c r="E11" s="394">
        <f>B11+C11-D11</f>
        <v>0</v>
      </c>
      <c r="F11" s="394">
        <v>0</v>
      </c>
      <c r="G11" s="394">
        <v>0</v>
      </c>
      <c r="H11" s="394">
        <v>0</v>
      </c>
      <c r="I11" s="394">
        <f>+G11+F11-H11</f>
        <v>0</v>
      </c>
      <c r="J11" s="342">
        <f t="shared" ref="J11:K43" si="0">E11-I11</f>
        <v>0</v>
      </c>
      <c r="K11" s="347">
        <f t="shared" si="0"/>
        <v>0</v>
      </c>
      <c r="L11" s="898"/>
    </row>
    <row r="12" spans="1:16" ht="15">
      <c r="A12" s="718"/>
      <c r="B12" s="394"/>
      <c r="C12" s="394"/>
      <c r="D12" s="394"/>
      <c r="E12" s="394"/>
      <c r="F12" s="394"/>
      <c r="G12" s="394"/>
      <c r="H12" s="394"/>
      <c r="I12" s="394"/>
      <c r="J12" s="342"/>
      <c r="K12" s="394"/>
      <c r="L12" s="898"/>
      <c r="N12" s="899"/>
    </row>
    <row r="13" spans="1:16" ht="15">
      <c r="A13" s="718" t="s">
        <v>463</v>
      </c>
      <c r="B13" s="394">
        <v>0</v>
      </c>
      <c r="C13" s="394">
        <v>0</v>
      </c>
      <c r="D13" s="394">
        <v>0</v>
      </c>
      <c r="E13" s="394">
        <f>B13+C13-D13</f>
        <v>0</v>
      </c>
      <c r="F13" s="394">
        <v>0</v>
      </c>
      <c r="G13" s="394">
        <v>0</v>
      </c>
      <c r="H13" s="394">
        <v>0</v>
      </c>
      <c r="I13" s="394">
        <f>+G13+F13-H13</f>
        <v>0</v>
      </c>
      <c r="J13" s="342">
        <f t="shared" si="0"/>
        <v>0</v>
      </c>
      <c r="K13" s="394">
        <f t="shared" si="0"/>
        <v>0</v>
      </c>
      <c r="L13" s="898"/>
      <c r="N13" s="899"/>
      <c r="P13" s="799"/>
    </row>
    <row r="14" spans="1:16" ht="15">
      <c r="A14" s="718"/>
      <c r="B14" s="394"/>
      <c r="C14" s="394"/>
      <c r="D14" s="394"/>
      <c r="E14" s="394"/>
      <c r="F14" s="394"/>
      <c r="G14" s="394"/>
      <c r="H14" s="394"/>
      <c r="I14" s="394"/>
      <c r="J14" s="342"/>
      <c r="K14" s="394"/>
      <c r="L14" s="898"/>
      <c r="N14" s="899"/>
      <c r="P14" s="799"/>
    </row>
    <row r="15" spans="1:16" ht="15">
      <c r="A15" s="718" t="s">
        <v>464</v>
      </c>
      <c r="B15" s="394">
        <v>0</v>
      </c>
      <c r="C15" s="394">
        <v>0</v>
      </c>
      <c r="D15" s="394">
        <v>0</v>
      </c>
      <c r="E15" s="394">
        <f>B15+C15-D15</f>
        <v>0</v>
      </c>
      <c r="F15" s="394">
        <v>0</v>
      </c>
      <c r="G15" s="394">
        <v>0</v>
      </c>
      <c r="H15" s="394">
        <v>0</v>
      </c>
      <c r="I15" s="394">
        <f>+G15+F15-H15</f>
        <v>0</v>
      </c>
      <c r="J15" s="342">
        <f t="shared" si="0"/>
        <v>0</v>
      </c>
      <c r="K15" s="394">
        <f t="shared" si="0"/>
        <v>0</v>
      </c>
      <c r="L15" s="898"/>
      <c r="N15" s="899"/>
      <c r="P15" s="799"/>
    </row>
    <row r="16" spans="1:16" ht="15">
      <c r="A16" s="718"/>
      <c r="B16" s="394"/>
      <c r="C16" s="394"/>
      <c r="D16" s="394"/>
      <c r="E16" s="394"/>
      <c r="F16" s="394"/>
      <c r="G16" s="394"/>
      <c r="H16" s="394"/>
      <c r="I16" s="394"/>
      <c r="J16" s="342"/>
      <c r="K16" s="394"/>
      <c r="L16" s="898"/>
      <c r="N16" s="899"/>
      <c r="P16" s="799"/>
    </row>
    <row r="17" spans="1:16" ht="15">
      <c r="A17" s="718" t="s">
        <v>465</v>
      </c>
      <c r="B17" s="394">
        <v>0</v>
      </c>
      <c r="C17" s="394">
        <v>0</v>
      </c>
      <c r="D17" s="394">
        <f>SUM(D9:D16)</f>
        <v>0</v>
      </c>
      <c r="E17" s="394">
        <f>B17+C17-D17</f>
        <v>0</v>
      </c>
      <c r="F17" s="394">
        <v>0</v>
      </c>
      <c r="G17" s="394">
        <v>0</v>
      </c>
      <c r="H17" s="394">
        <v>0</v>
      </c>
      <c r="I17" s="394">
        <f>+G17+F17-H17</f>
        <v>0</v>
      </c>
      <c r="J17" s="342">
        <f t="shared" si="0"/>
        <v>0</v>
      </c>
      <c r="K17" s="394">
        <f t="shared" si="0"/>
        <v>0</v>
      </c>
      <c r="L17" s="898"/>
      <c r="N17" s="899"/>
      <c r="P17" s="799"/>
    </row>
    <row r="18" spans="1:16" ht="15">
      <c r="A18" s="718"/>
      <c r="B18" s="394"/>
      <c r="C18" s="394"/>
      <c r="D18" s="394"/>
      <c r="E18" s="394"/>
      <c r="F18" s="394"/>
      <c r="G18" s="394"/>
      <c r="H18" s="394"/>
      <c r="I18" s="394"/>
      <c r="J18" s="342"/>
      <c r="K18" s="394"/>
      <c r="L18" s="898"/>
      <c r="N18" s="899"/>
      <c r="P18" s="799"/>
    </row>
    <row r="19" spans="1:16" ht="15">
      <c r="A19" s="718" t="s">
        <v>466</v>
      </c>
      <c r="B19" s="394">
        <v>0</v>
      </c>
      <c r="C19" s="394">
        <v>0</v>
      </c>
      <c r="D19" s="394">
        <v>0</v>
      </c>
      <c r="E19" s="394">
        <f>B19+C19-D19</f>
        <v>0</v>
      </c>
      <c r="F19" s="394">
        <v>0</v>
      </c>
      <c r="G19" s="394">
        <v>0</v>
      </c>
      <c r="H19" s="394">
        <v>0</v>
      </c>
      <c r="I19" s="394">
        <f>+G19+F19-H19</f>
        <v>0</v>
      </c>
      <c r="J19" s="342">
        <f t="shared" si="0"/>
        <v>0</v>
      </c>
      <c r="K19" s="394">
        <f t="shared" si="0"/>
        <v>0</v>
      </c>
      <c r="L19" s="898"/>
      <c r="N19" s="899"/>
      <c r="P19" s="799"/>
    </row>
    <row r="20" spans="1:16" ht="15">
      <c r="A20" s="718"/>
      <c r="B20" s="394"/>
      <c r="C20" s="394"/>
      <c r="D20" s="394"/>
      <c r="E20" s="394"/>
      <c r="F20" s="394"/>
      <c r="G20" s="394"/>
      <c r="H20" s="394"/>
      <c r="I20" s="394"/>
      <c r="J20" s="342"/>
      <c r="K20" s="394"/>
      <c r="L20" s="898"/>
      <c r="N20" s="899"/>
      <c r="P20" s="799"/>
    </row>
    <row r="21" spans="1:16" ht="15">
      <c r="A21" s="718" t="s">
        <v>467</v>
      </c>
      <c r="B21" s="394">
        <v>0</v>
      </c>
      <c r="C21" s="394">
        <v>0</v>
      </c>
      <c r="D21" s="394">
        <v>0</v>
      </c>
      <c r="E21" s="394">
        <f>B21+C21-D21</f>
        <v>0</v>
      </c>
      <c r="F21" s="394">
        <v>0</v>
      </c>
      <c r="G21" s="394">
        <v>0</v>
      </c>
      <c r="H21" s="394">
        <v>0</v>
      </c>
      <c r="I21" s="394">
        <f>+G21+F21-H21</f>
        <v>0</v>
      </c>
      <c r="J21" s="342">
        <f t="shared" si="0"/>
        <v>0</v>
      </c>
      <c r="K21" s="394">
        <f t="shared" si="0"/>
        <v>0</v>
      </c>
      <c r="L21" s="898"/>
      <c r="N21" s="899"/>
      <c r="P21" s="799"/>
    </row>
    <row r="22" spans="1:16" ht="15">
      <c r="A22" s="718"/>
      <c r="B22" s="394"/>
      <c r="C22" s="394"/>
      <c r="D22" s="394"/>
      <c r="E22" s="394"/>
      <c r="F22" s="394"/>
      <c r="G22" s="394"/>
      <c r="H22" s="394"/>
      <c r="I22" s="394"/>
      <c r="J22" s="342"/>
      <c r="K22" s="394"/>
      <c r="L22" s="898"/>
      <c r="N22" s="899"/>
      <c r="P22" s="799"/>
    </row>
    <row r="23" spans="1:16" ht="15">
      <c r="A23" s="718" t="s">
        <v>468</v>
      </c>
      <c r="B23" s="394">
        <v>0</v>
      </c>
      <c r="C23" s="394">
        <v>0</v>
      </c>
      <c r="D23" s="394">
        <v>0</v>
      </c>
      <c r="E23" s="394">
        <f>B23+C23-D23</f>
        <v>0</v>
      </c>
      <c r="F23" s="394">
        <v>0</v>
      </c>
      <c r="G23" s="394">
        <v>0</v>
      </c>
      <c r="H23" s="394">
        <v>0</v>
      </c>
      <c r="I23" s="394">
        <f>+G23+F23-H23</f>
        <v>0</v>
      </c>
      <c r="J23" s="342">
        <f t="shared" si="0"/>
        <v>0</v>
      </c>
      <c r="K23" s="394">
        <f t="shared" si="0"/>
        <v>0</v>
      </c>
      <c r="L23" s="898"/>
      <c r="N23" s="899"/>
      <c r="P23" s="799"/>
    </row>
    <row r="24" spans="1:16" ht="15">
      <c r="A24" s="718"/>
      <c r="B24" s="394"/>
      <c r="C24" s="394"/>
      <c r="D24" s="394"/>
      <c r="E24" s="394"/>
      <c r="F24" s="394"/>
      <c r="G24" s="394"/>
      <c r="H24" s="394"/>
      <c r="I24" s="394"/>
      <c r="J24" s="342"/>
      <c r="K24" s="394"/>
      <c r="L24" s="898"/>
      <c r="N24" s="899"/>
      <c r="P24" s="799"/>
    </row>
    <row r="25" spans="1:16" ht="15">
      <c r="A25" s="718" t="s">
        <v>469</v>
      </c>
      <c r="B25" s="394">
        <v>0</v>
      </c>
      <c r="C25" s="394">
        <v>0</v>
      </c>
      <c r="D25" s="394">
        <v>0</v>
      </c>
      <c r="E25" s="394">
        <f>B25+C25-D25</f>
        <v>0</v>
      </c>
      <c r="F25" s="394">
        <v>0</v>
      </c>
      <c r="G25" s="394">
        <v>0</v>
      </c>
      <c r="H25" s="394">
        <v>0</v>
      </c>
      <c r="I25" s="394">
        <f>+G25+F25-H25</f>
        <v>0</v>
      </c>
      <c r="J25" s="342">
        <f t="shared" si="0"/>
        <v>0</v>
      </c>
      <c r="K25" s="394">
        <f t="shared" si="0"/>
        <v>0</v>
      </c>
      <c r="L25" s="898"/>
      <c r="N25" s="899"/>
      <c r="P25" s="799"/>
    </row>
    <row r="26" spans="1:16" ht="15">
      <c r="A26" s="718"/>
      <c r="B26" s="394"/>
      <c r="C26" s="394"/>
      <c r="D26" s="394"/>
      <c r="E26" s="394"/>
      <c r="F26" s="394"/>
      <c r="G26" s="394"/>
      <c r="H26" s="394"/>
      <c r="I26" s="394"/>
      <c r="J26" s="342"/>
      <c r="K26" s="394"/>
      <c r="L26" s="898"/>
      <c r="N26" s="899"/>
      <c r="P26" s="799"/>
    </row>
    <row r="27" spans="1:16" ht="15">
      <c r="A27" s="718" t="s">
        <v>470</v>
      </c>
      <c r="B27" s="394">
        <v>0</v>
      </c>
      <c r="C27" s="394">
        <v>0</v>
      </c>
      <c r="D27" s="394">
        <v>0</v>
      </c>
      <c r="E27" s="394">
        <f>B27+C27-D27</f>
        <v>0</v>
      </c>
      <c r="F27" s="394">
        <v>0</v>
      </c>
      <c r="G27" s="394">
        <v>0</v>
      </c>
      <c r="H27" s="394">
        <v>0</v>
      </c>
      <c r="I27" s="394">
        <f>+G27+F27-H27</f>
        <v>0</v>
      </c>
      <c r="J27" s="342">
        <f t="shared" si="0"/>
        <v>0</v>
      </c>
      <c r="K27" s="394">
        <f t="shared" si="0"/>
        <v>0</v>
      </c>
      <c r="L27" s="898"/>
      <c r="N27" s="899"/>
      <c r="P27" s="799"/>
    </row>
    <row r="28" spans="1:16" ht="15">
      <c r="A28" s="718"/>
      <c r="B28" s="394"/>
      <c r="C28" s="394"/>
      <c r="D28" s="394"/>
      <c r="E28" s="394"/>
      <c r="F28" s="394"/>
      <c r="G28" s="394"/>
      <c r="H28" s="394"/>
      <c r="I28" s="394"/>
      <c r="J28" s="342"/>
      <c r="K28" s="394"/>
      <c r="L28" s="898"/>
      <c r="N28" s="899"/>
      <c r="P28" s="799"/>
    </row>
    <row r="29" spans="1:16" ht="15">
      <c r="A29" s="718" t="s">
        <v>471</v>
      </c>
      <c r="B29" s="394">
        <v>0</v>
      </c>
      <c r="C29" s="394">
        <v>0</v>
      </c>
      <c r="D29" s="394">
        <v>0</v>
      </c>
      <c r="E29" s="394">
        <f>B29+C29-D29</f>
        <v>0</v>
      </c>
      <c r="F29" s="394">
        <v>0</v>
      </c>
      <c r="G29" s="394">
        <v>0</v>
      </c>
      <c r="H29" s="394">
        <v>0</v>
      </c>
      <c r="I29" s="394">
        <f>+G29+F29-H29</f>
        <v>0</v>
      </c>
      <c r="J29" s="342">
        <f t="shared" si="0"/>
        <v>0</v>
      </c>
      <c r="K29" s="394">
        <f t="shared" si="0"/>
        <v>0</v>
      </c>
      <c r="L29" s="898"/>
      <c r="N29" s="899"/>
      <c r="P29" s="799"/>
    </row>
    <row r="30" spans="1:16" ht="15">
      <c r="A30" s="718"/>
      <c r="B30" s="394"/>
      <c r="C30" s="394"/>
      <c r="D30" s="394"/>
      <c r="E30" s="394"/>
      <c r="F30" s="394"/>
      <c r="G30" s="394"/>
      <c r="H30" s="394"/>
      <c r="I30" s="394"/>
      <c r="J30" s="342"/>
      <c r="K30" s="394"/>
      <c r="L30" s="898"/>
      <c r="N30" s="899"/>
      <c r="P30" s="799"/>
    </row>
    <row r="31" spans="1:16" ht="15">
      <c r="A31" s="718" t="s">
        <v>472</v>
      </c>
      <c r="B31" s="394">
        <v>0</v>
      </c>
      <c r="C31" s="394">
        <v>0</v>
      </c>
      <c r="D31" s="394">
        <v>0</v>
      </c>
      <c r="E31" s="394">
        <f>B31+C31-D31</f>
        <v>0</v>
      </c>
      <c r="F31" s="394">
        <v>0</v>
      </c>
      <c r="G31" s="394">
        <v>0</v>
      </c>
      <c r="H31" s="394">
        <v>0</v>
      </c>
      <c r="I31" s="394">
        <f>+G31+F31-H31</f>
        <v>0</v>
      </c>
      <c r="J31" s="342">
        <f t="shared" si="0"/>
        <v>0</v>
      </c>
      <c r="K31" s="394">
        <f t="shared" si="0"/>
        <v>0</v>
      </c>
      <c r="L31" s="898"/>
      <c r="N31" s="899"/>
      <c r="P31" s="799"/>
    </row>
    <row r="32" spans="1:16" ht="15">
      <c r="A32" s="718"/>
      <c r="B32" s="394"/>
      <c r="C32" s="394"/>
      <c r="D32" s="394"/>
      <c r="E32" s="394"/>
      <c r="F32" s="394"/>
      <c r="G32" s="394"/>
      <c r="H32" s="394"/>
      <c r="I32" s="394"/>
      <c r="J32" s="342"/>
      <c r="K32" s="394"/>
      <c r="L32" s="898"/>
      <c r="N32" s="899"/>
      <c r="P32" s="799"/>
    </row>
    <row r="33" spans="1:16" ht="15">
      <c r="A33" s="718" t="s">
        <v>473</v>
      </c>
      <c r="B33" s="394">
        <v>0</v>
      </c>
      <c r="C33" s="394">
        <v>0</v>
      </c>
      <c r="D33" s="394">
        <v>0</v>
      </c>
      <c r="E33" s="394">
        <f>B33+C33-D33</f>
        <v>0</v>
      </c>
      <c r="F33" s="394">
        <v>0</v>
      </c>
      <c r="G33" s="394">
        <v>0</v>
      </c>
      <c r="H33" s="394">
        <v>0</v>
      </c>
      <c r="I33" s="394">
        <f>+G33+F33-H33</f>
        <v>0</v>
      </c>
      <c r="J33" s="342">
        <f t="shared" si="0"/>
        <v>0</v>
      </c>
      <c r="K33" s="394">
        <f t="shared" si="0"/>
        <v>0</v>
      </c>
      <c r="L33" s="898"/>
      <c r="N33" s="899"/>
      <c r="P33" s="799"/>
    </row>
    <row r="34" spans="1:16" ht="15">
      <c r="A34" s="718"/>
      <c r="B34" s="394"/>
      <c r="C34" s="394"/>
      <c r="D34" s="394"/>
      <c r="E34" s="394"/>
      <c r="F34" s="394"/>
      <c r="G34" s="394"/>
      <c r="H34" s="394"/>
      <c r="I34" s="394"/>
      <c r="J34" s="342"/>
      <c r="K34" s="394"/>
      <c r="L34" s="898"/>
      <c r="N34" s="899"/>
      <c r="P34" s="799"/>
    </row>
    <row r="35" spans="1:16" ht="15">
      <c r="A35" s="718" t="s">
        <v>474</v>
      </c>
      <c r="B35" s="394">
        <v>0</v>
      </c>
      <c r="C35" s="394">
        <v>0</v>
      </c>
      <c r="D35" s="394">
        <v>0</v>
      </c>
      <c r="E35" s="394">
        <f>B35+C35-D35</f>
        <v>0</v>
      </c>
      <c r="F35" s="394">
        <v>0</v>
      </c>
      <c r="G35" s="394">
        <v>0</v>
      </c>
      <c r="H35" s="394">
        <v>0</v>
      </c>
      <c r="I35" s="394">
        <f>+G35+F35-H35</f>
        <v>0</v>
      </c>
      <c r="J35" s="342">
        <f t="shared" si="0"/>
        <v>0</v>
      </c>
      <c r="K35" s="394">
        <f t="shared" si="0"/>
        <v>0</v>
      </c>
      <c r="L35" s="898"/>
      <c r="N35" s="899"/>
      <c r="P35" s="799"/>
    </row>
    <row r="36" spans="1:16" ht="15">
      <c r="A36" s="718"/>
      <c r="B36" s="394"/>
      <c r="C36" s="394"/>
      <c r="D36" s="394"/>
      <c r="E36" s="394"/>
      <c r="F36" s="394"/>
      <c r="G36" s="394"/>
      <c r="H36" s="394"/>
      <c r="I36" s="394"/>
      <c r="J36" s="342"/>
      <c r="K36" s="394"/>
      <c r="L36" s="898"/>
      <c r="N36" s="899"/>
      <c r="P36" s="799"/>
    </row>
    <row r="37" spans="1:16" ht="15">
      <c r="A37" s="718" t="s">
        <v>475</v>
      </c>
      <c r="B37" s="394">
        <v>0</v>
      </c>
      <c r="C37" s="394">
        <v>0</v>
      </c>
      <c r="D37" s="394">
        <v>0</v>
      </c>
      <c r="E37" s="394">
        <f>B37+C37-D37</f>
        <v>0</v>
      </c>
      <c r="F37" s="394">
        <v>0</v>
      </c>
      <c r="G37" s="394">
        <v>0</v>
      </c>
      <c r="H37" s="394">
        <v>0</v>
      </c>
      <c r="I37" s="394">
        <f>+G37+F37-H37</f>
        <v>0</v>
      </c>
      <c r="J37" s="342">
        <f t="shared" si="0"/>
        <v>0</v>
      </c>
      <c r="K37" s="394">
        <f t="shared" si="0"/>
        <v>0</v>
      </c>
      <c r="L37" s="898"/>
      <c r="N37" s="899"/>
      <c r="P37" s="799"/>
    </row>
    <row r="38" spans="1:16" ht="15">
      <c r="A38" s="718"/>
      <c r="B38" s="394"/>
      <c r="C38" s="394"/>
      <c r="D38" s="394"/>
      <c r="E38" s="394"/>
      <c r="F38" s="394"/>
      <c r="G38" s="394"/>
      <c r="H38" s="394"/>
      <c r="I38" s="394"/>
      <c r="J38" s="342"/>
      <c r="K38" s="394"/>
      <c r="L38" s="898"/>
      <c r="N38" s="899"/>
      <c r="P38" s="799"/>
    </row>
    <row r="39" spans="1:16" ht="15">
      <c r="A39" s="718" t="s">
        <v>476</v>
      </c>
      <c r="B39" s="394">
        <v>0</v>
      </c>
      <c r="C39" s="394">
        <v>0</v>
      </c>
      <c r="D39" s="394">
        <v>0</v>
      </c>
      <c r="E39" s="394">
        <f>B39+C39-D39</f>
        <v>0</v>
      </c>
      <c r="F39" s="394">
        <v>0</v>
      </c>
      <c r="G39" s="394">
        <v>0</v>
      </c>
      <c r="H39" s="394">
        <v>0</v>
      </c>
      <c r="I39" s="394">
        <f>+G39+F39-H39</f>
        <v>0</v>
      </c>
      <c r="J39" s="342">
        <f t="shared" si="0"/>
        <v>0</v>
      </c>
      <c r="K39" s="394">
        <f t="shared" si="0"/>
        <v>0</v>
      </c>
      <c r="L39" s="898"/>
      <c r="N39" s="899"/>
      <c r="P39" s="799"/>
    </row>
    <row r="40" spans="1:16" ht="15">
      <c r="A40" s="718"/>
      <c r="B40" s="394"/>
      <c r="C40" s="394"/>
      <c r="D40" s="394"/>
      <c r="E40" s="394"/>
      <c r="F40" s="394"/>
      <c r="G40" s="394"/>
      <c r="H40" s="394"/>
      <c r="I40" s="394"/>
      <c r="J40" s="342"/>
      <c r="K40" s="394"/>
      <c r="L40" s="898"/>
      <c r="N40" s="899"/>
      <c r="P40" s="799"/>
    </row>
    <row r="41" spans="1:16" ht="15">
      <c r="A41" s="718" t="s">
        <v>477</v>
      </c>
      <c r="B41" s="394">
        <v>0</v>
      </c>
      <c r="C41" s="394">
        <v>0</v>
      </c>
      <c r="D41" s="394">
        <v>0</v>
      </c>
      <c r="E41" s="394">
        <f>B41+C41-D41</f>
        <v>0</v>
      </c>
      <c r="F41" s="276"/>
      <c r="G41" s="276"/>
      <c r="H41" s="276"/>
      <c r="I41" s="394"/>
      <c r="J41" s="342">
        <f t="shared" si="0"/>
        <v>0</v>
      </c>
      <c r="K41" s="394">
        <f t="shared" si="0"/>
        <v>0</v>
      </c>
      <c r="L41" s="898"/>
      <c r="N41" s="899"/>
      <c r="P41" s="799"/>
    </row>
    <row r="42" spans="1:16" ht="15">
      <c r="A42" s="718"/>
      <c r="B42" s="394"/>
      <c r="C42" s="394"/>
      <c r="D42" s="394"/>
      <c r="E42" s="394"/>
      <c r="F42" s="276"/>
      <c r="G42" s="276"/>
      <c r="H42" s="276"/>
      <c r="I42" s="394"/>
      <c r="J42" s="342"/>
      <c r="K42" s="394"/>
      <c r="L42" s="898"/>
      <c r="N42" s="899"/>
      <c r="P42" s="799"/>
    </row>
    <row r="43" spans="1:16" ht="15">
      <c r="A43" s="718" t="s">
        <v>478</v>
      </c>
      <c r="B43" s="394">
        <v>0</v>
      </c>
      <c r="C43" s="394">
        <v>0</v>
      </c>
      <c r="D43" s="394">
        <v>0</v>
      </c>
      <c r="E43" s="394">
        <f>B43+C43-D43</f>
        <v>0</v>
      </c>
      <c r="F43" s="394">
        <v>0</v>
      </c>
      <c r="G43" s="394">
        <v>0</v>
      </c>
      <c r="H43" s="394">
        <v>0</v>
      </c>
      <c r="I43" s="394">
        <f>+G43+F43-H43</f>
        <v>0</v>
      </c>
      <c r="J43" s="342">
        <f t="shared" si="0"/>
        <v>0</v>
      </c>
      <c r="K43" s="394">
        <f t="shared" si="0"/>
        <v>0</v>
      </c>
      <c r="L43" s="898"/>
      <c r="N43" s="899"/>
      <c r="P43" s="799"/>
    </row>
    <row r="44" spans="1:16" ht="15">
      <c r="A44" s="718"/>
      <c r="B44" s="394"/>
      <c r="C44" s="394"/>
      <c r="D44" s="394"/>
      <c r="E44" s="394"/>
      <c r="F44" s="394"/>
      <c r="G44" s="394"/>
      <c r="H44" s="394"/>
      <c r="I44" s="394"/>
      <c r="J44" s="342"/>
      <c r="K44" s="394"/>
      <c r="L44" s="898"/>
      <c r="N44" s="899"/>
    </row>
    <row r="45" spans="1:16" ht="15">
      <c r="A45" s="718"/>
      <c r="B45" s="394"/>
      <c r="C45" s="394"/>
      <c r="D45" s="394"/>
      <c r="E45" s="394"/>
      <c r="F45" s="394"/>
      <c r="G45" s="394"/>
      <c r="H45" s="394"/>
      <c r="I45" s="394"/>
      <c r="J45" s="342"/>
      <c r="K45" s="347"/>
      <c r="L45" s="898"/>
      <c r="N45" s="899"/>
    </row>
    <row r="46" spans="1:16" s="380" customFormat="1" ht="15.75">
      <c r="A46" s="520" t="s">
        <v>479</v>
      </c>
      <c r="B46" s="342">
        <f>SUM(B10:B45)</f>
        <v>0</v>
      </c>
      <c r="C46" s="342">
        <f>SUM(C10:C45)</f>
        <v>0</v>
      </c>
      <c r="D46" s="342">
        <f>SUM(D10:D45)</f>
        <v>0</v>
      </c>
      <c r="E46" s="394">
        <f>B46+C46-D46</f>
        <v>0</v>
      </c>
      <c r="F46" s="342">
        <f>SUM(F11:F45)</f>
        <v>0</v>
      </c>
      <c r="G46" s="342">
        <f>SUM(G11:G45)</f>
        <v>0</v>
      </c>
      <c r="H46" s="342">
        <f>SUM(H11:H45)</f>
        <v>0</v>
      </c>
      <c r="I46" s="342">
        <f>+F46+G46-H46</f>
        <v>0</v>
      </c>
      <c r="J46" s="342">
        <f t="shared" ref="J46:K48" si="1">+E46-I46</f>
        <v>0</v>
      </c>
      <c r="K46" s="342">
        <f t="shared" si="1"/>
        <v>0</v>
      </c>
      <c r="L46" s="900"/>
      <c r="N46" s="405"/>
    </row>
    <row r="47" spans="1:16" ht="15">
      <c r="A47" s="718" t="s">
        <v>480</v>
      </c>
      <c r="B47" s="394">
        <v>0</v>
      </c>
      <c r="C47" s="394">
        <v>0</v>
      </c>
      <c r="D47" s="394">
        <v>0</v>
      </c>
      <c r="E47" s="394">
        <f>B47+C47-D47</f>
        <v>0</v>
      </c>
      <c r="F47" s="394"/>
      <c r="G47" s="394"/>
      <c r="H47" s="394"/>
      <c r="I47" s="342"/>
      <c r="J47" s="342">
        <f t="shared" si="1"/>
        <v>0</v>
      </c>
      <c r="K47" s="394">
        <f t="shared" si="1"/>
        <v>0</v>
      </c>
      <c r="L47" s="898"/>
      <c r="N47" s="899"/>
    </row>
    <row r="48" spans="1:16" ht="15.75">
      <c r="A48" s="520" t="s">
        <v>12</v>
      </c>
      <c r="B48" s="342">
        <f t="shared" ref="B48:H48" si="2">+B46+B47</f>
        <v>0</v>
      </c>
      <c r="C48" s="342">
        <f t="shared" si="2"/>
        <v>0</v>
      </c>
      <c r="D48" s="342">
        <f t="shared" si="2"/>
        <v>0</v>
      </c>
      <c r="E48" s="394">
        <f>B48+C48-D48</f>
        <v>0</v>
      </c>
      <c r="F48" s="342">
        <f t="shared" si="2"/>
        <v>0</v>
      </c>
      <c r="G48" s="342">
        <f t="shared" si="2"/>
        <v>0</v>
      </c>
      <c r="H48" s="342">
        <f t="shared" si="2"/>
        <v>0</v>
      </c>
      <c r="I48" s="342">
        <f>+F48+G48-H48</f>
        <v>0</v>
      </c>
      <c r="J48" s="342">
        <f t="shared" si="1"/>
        <v>0</v>
      </c>
      <c r="K48" s="342">
        <f t="shared" si="1"/>
        <v>0</v>
      </c>
      <c r="L48" s="901"/>
      <c r="M48" s="799"/>
      <c r="N48" s="899"/>
      <c r="O48" s="799"/>
      <c r="P48" s="799"/>
    </row>
    <row r="49" spans="1:11">
      <c r="A49" s="356"/>
      <c r="B49" s="352"/>
      <c r="C49" s="352"/>
      <c r="D49" s="352"/>
      <c r="E49" s="352"/>
      <c r="F49" s="352"/>
      <c r="G49" s="352"/>
      <c r="H49" s="352"/>
      <c r="I49" s="352"/>
      <c r="J49" s="352"/>
      <c r="K49" s="352"/>
    </row>
    <row r="50" spans="1:11">
      <c r="A50" s="356"/>
      <c r="B50" s="352"/>
      <c r="C50" s="352"/>
      <c r="D50" s="352"/>
      <c r="E50" s="352"/>
      <c r="F50" s="352"/>
      <c r="G50" s="352"/>
      <c r="H50" s="352"/>
      <c r="I50" s="352"/>
      <c r="J50" s="352"/>
      <c r="K50" s="352"/>
    </row>
    <row r="51" spans="1:11">
      <c r="A51" s="356"/>
      <c r="B51" s="570"/>
      <c r="C51" s="570"/>
      <c r="D51" s="570"/>
      <c r="E51" s="570"/>
      <c r="F51" s="352"/>
      <c r="G51" s="570"/>
      <c r="H51" s="352"/>
      <c r="I51" s="570"/>
      <c r="J51" s="352"/>
      <c r="K51" s="570"/>
    </row>
    <row r="52" spans="1:11">
      <c r="A52" s="1374" t="s">
        <v>20</v>
      </c>
      <c r="B52" s="1374"/>
      <c r="C52" s="1374"/>
      <c r="D52" s="1374"/>
      <c r="E52" s="1374"/>
      <c r="F52" s="1374"/>
      <c r="G52" s="1374"/>
      <c r="H52" s="1374"/>
      <c r="I52" s="1374"/>
      <c r="J52" s="1374"/>
      <c r="K52" s="1374"/>
    </row>
    <row r="53" spans="1:11">
      <c r="B53" s="876"/>
      <c r="E53" s="876"/>
      <c r="I53" s="876"/>
    </row>
    <row r="54" spans="1:11">
      <c r="B54" s="876"/>
      <c r="C54" s="876"/>
      <c r="F54" s="876"/>
      <c r="I54" s="876"/>
      <c r="J54" s="876"/>
    </row>
    <row r="55" spans="1:11">
      <c r="B55" s="876"/>
      <c r="C55" s="876"/>
      <c r="G55" s="876"/>
      <c r="J55" s="876"/>
    </row>
    <row r="56" spans="1:11">
      <c r="B56" s="876"/>
      <c r="C56" s="876"/>
    </row>
    <row r="58" spans="1:11">
      <c r="B58" s="876"/>
      <c r="C58" s="876"/>
    </row>
    <row r="59" spans="1:11">
      <c r="B59" s="876"/>
    </row>
    <row r="61" spans="1:11">
      <c r="B61" s="876"/>
    </row>
  </sheetData>
  <customSheetViews>
    <customSheetView guid="{B1076A3F-74CA-4685-9B64-0249438E4A9A}" scale="110" showPageBreaks="1" printArea="1" view="pageBreakPreview">
      <pane xSplit="1" ySplit="7" topLeftCell="B8" state="frozen"/>
      <selection sqref="A1:IV65536"/>
      <pageMargins left="0" right="0" top="0" bottom="0" header="0.511811023622047" footer="0.35433070866141703"/>
      <printOptions horizontalCentered="1" verticalCentered="1"/>
      <pageSetup paperSize="9" scale="70" orientation="landscape"/>
      <headerFooter alignWithMargins="0"/>
    </customSheetView>
    <customSheetView guid="{789595AE-36A2-4B02-81C2-3D94932E7381}" scale="110" showPageBreaks="1" printArea="1" view="pageBreakPreview">
      <pane xSplit="1" ySplit="7" topLeftCell="B8" state="frozen"/>
      <selection sqref="A1:IV65536"/>
      <pageMargins left="0" right="0" top="0" bottom="0" header="0.511811023622047" footer="0.35433070866141703"/>
      <printOptions horizontalCentered="1" verticalCentered="1"/>
      <pageSetup paperSize="9" scale="70" orientation="landscape"/>
      <headerFooter alignWithMargins="0"/>
    </customSheetView>
  </customSheetViews>
  <mergeCells count="19">
    <mergeCell ref="A1:K1"/>
    <mergeCell ref="A2:K2"/>
    <mergeCell ref="J3:K3"/>
    <mergeCell ref="B4:E4"/>
    <mergeCell ref="F4:I4"/>
    <mergeCell ref="J4:K4"/>
    <mergeCell ref="L4:L6"/>
    <mergeCell ref="A52:K52"/>
    <mergeCell ref="A5:A6"/>
    <mergeCell ref="B5:B6"/>
    <mergeCell ref="C5:C6"/>
    <mergeCell ref="D5:D6"/>
    <mergeCell ref="E5:E6"/>
    <mergeCell ref="F5:F6"/>
    <mergeCell ref="G5:G6"/>
    <mergeCell ref="H5:H6"/>
    <mergeCell ref="I5:I6"/>
    <mergeCell ref="J5:J6"/>
    <mergeCell ref="K5:K6"/>
  </mergeCells>
  <printOptions horizontalCentered="1" verticalCentered="1"/>
  <pageMargins left="0" right="0" top="0" bottom="0" header="0.35433070866141703" footer="0.31496062992126"/>
  <pageSetup paperSize="9" scale="6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60"/>
  <sheetViews>
    <sheetView view="pageBreakPreview" zoomScaleNormal="100" workbookViewId="0">
      <pane xSplit="1" ySplit="8" topLeftCell="B45" activePane="bottomRight" state="frozen"/>
      <selection pane="topRight"/>
      <selection pane="bottomLeft"/>
      <selection pane="bottomRight" activeCell="H49" sqref="H49"/>
    </sheetView>
  </sheetViews>
  <sheetFormatPr defaultColWidth="23.28515625" defaultRowHeight="12.75"/>
  <cols>
    <col min="1" max="1" width="44" style="380" customWidth="1"/>
    <col min="2" max="2" width="14" style="402" customWidth="1"/>
    <col min="3" max="3" width="11.5703125" style="402" customWidth="1"/>
    <col min="4" max="4" width="15.28515625" style="402" customWidth="1"/>
    <col min="5" max="5" width="14.5703125" style="402" customWidth="1"/>
    <col min="6" max="6" width="13.7109375" style="402" customWidth="1"/>
    <col min="7" max="7" width="9.5703125" style="402" customWidth="1"/>
    <col min="8" max="8" width="16.7109375" style="402" customWidth="1"/>
    <col min="9" max="9" width="11.28515625" style="402" customWidth="1"/>
    <col min="10" max="11" width="12.7109375" style="402" customWidth="1"/>
    <col min="12" max="12" width="12.42578125" style="402" customWidth="1"/>
    <col min="13" max="13" width="12.28515625" style="402" customWidth="1"/>
    <col min="14" max="14" width="12.5703125" style="402" customWidth="1"/>
    <col min="15" max="16384" width="23.28515625" style="402"/>
  </cols>
  <sheetData>
    <row r="1" spans="1:16" ht="15.75">
      <c r="A1" s="1322" t="s">
        <v>1910</v>
      </c>
      <c r="B1" s="1322"/>
      <c r="C1" s="1322"/>
      <c r="D1" s="1322"/>
      <c r="E1" s="1322"/>
      <c r="F1" s="1322"/>
      <c r="G1" s="1322"/>
      <c r="H1" s="1322"/>
      <c r="I1" s="1322"/>
      <c r="J1" s="1322"/>
      <c r="K1" s="1322"/>
    </row>
    <row r="2" spans="1:16" ht="15.75">
      <c r="A2" s="1322" t="s">
        <v>43</v>
      </c>
      <c r="B2" s="1322"/>
      <c r="C2" s="1322"/>
      <c r="D2" s="1322"/>
      <c r="E2" s="1322"/>
      <c r="F2" s="1322"/>
      <c r="G2" s="1322"/>
      <c r="H2" s="1322"/>
      <c r="I2" s="1322"/>
      <c r="J2" s="1322"/>
      <c r="K2" s="1322"/>
    </row>
    <row r="3" spans="1:16" ht="17.25" customHeight="1">
      <c r="A3" s="383"/>
      <c r="B3" s="356"/>
      <c r="C3" s="356"/>
      <c r="D3" s="356"/>
      <c r="E3" s="356"/>
      <c r="F3" s="356"/>
      <c r="G3" s="356"/>
      <c r="H3" s="356"/>
      <c r="I3" s="1407" t="s">
        <v>68</v>
      </c>
      <c r="J3" s="1407"/>
      <c r="K3" s="892"/>
    </row>
    <row r="4" spans="1:16" s="379" customFormat="1" ht="32.25" customHeight="1">
      <c r="A4" s="925" t="s">
        <v>497</v>
      </c>
      <c r="B4" s="1396" t="s">
        <v>483</v>
      </c>
      <c r="C4" s="1396"/>
      <c r="D4" s="1396"/>
      <c r="E4" s="1396"/>
      <c r="F4" s="1396" t="s">
        <v>39</v>
      </c>
      <c r="G4" s="1396"/>
      <c r="H4" s="1396"/>
      <c r="I4" s="1396"/>
      <c r="J4" s="928" t="s">
        <v>447</v>
      </c>
      <c r="K4" s="929"/>
      <c r="L4" s="1397"/>
    </row>
    <row r="5" spans="1:16" s="887" customFormat="1" ht="12.75" customHeight="1">
      <c r="A5" s="1413" t="s">
        <v>448</v>
      </c>
      <c r="B5" s="1413" t="s">
        <v>449</v>
      </c>
      <c r="C5" s="1413" t="s">
        <v>450</v>
      </c>
      <c r="D5" s="1413" t="s">
        <v>451</v>
      </c>
      <c r="E5" s="1413" t="s">
        <v>452</v>
      </c>
      <c r="F5" s="1413" t="s">
        <v>453</v>
      </c>
      <c r="G5" s="1413" t="s">
        <v>454</v>
      </c>
      <c r="H5" s="1414" t="s">
        <v>455</v>
      </c>
      <c r="I5" s="1415" t="s">
        <v>485</v>
      </c>
      <c r="J5" s="1413" t="s">
        <v>498</v>
      </c>
      <c r="K5" s="1416" t="s">
        <v>458</v>
      </c>
      <c r="L5" s="1398"/>
    </row>
    <row r="6" spans="1:16" s="887" customFormat="1" ht="77.25" customHeight="1">
      <c r="A6" s="1413"/>
      <c r="B6" s="1413"/>
      <c r="C6" s="1413"/>
      <c r="D6" s="1413"/>
      <c r="E6" s="1413"/>
      <c r="F6" s="1413"/>
      <c r="G6" s="1413"/>
      <c r="H6" s="1413"/>
      <c r="I6" s="1415"/>
      <c r="J6" s="1413"/>
      <c r="K6" s="1416"/>
      <c r="L6" s="1398"/>
    </row>
    <row r="7" spans="1:16" s="379" customFormat="1">
      <c r="A7" s="926"/>
      <c r="B7" s="889">
        <v>1</v>
      </c>
      <c r="C7" s="889">
        <v>2</v>
      </c>
      <c r="D7" s="889">
        <v>3</v>
      </c>
      <c r="E7" s="889">
        <v>4</v>
      </c>
      <c r="F7" s="889">
        <v>5</v>
      </c>
      <c r="G7" s="889">
        <v>6</v>
      </c>
      <c r="H7" s="889">
        <v>7</v>
      </c>
      <c r="I7" s="889">
        <v>8</v>
      </c>
      <c r="J7" s="889">
        <v>9</v>
      </c>
      <c r="K7" s="930">
        <v>10</v>
      </c>
      <c r="L7" s="895"/>
    </row>
    <row r="8" spans="1:16" ht="15">
      <c r="A8" s="718" t="s">
        <v>459</v>
      </c>
      <c r="B8" s="394"/>
      <c r="C8" s="394"/>
      <c r="D8" s="394"/>
      <c r="E8" s="394"/>
      <c r="F8" s="394"/>
      <c r="G8" s="394"/>
      <c r="H8" s="394"/>
      <c r="I8" s="394"/>
      <c r="J8" s="394"/>
      <c r="K8" s="931"/>
      <c r="L8" s="897"/>
    </row>
    <row r="9" spans="1:16" ht="15">
      <c r="A9" s="718" t="s">
        <v>460</v>
      </c>
      <c r="B9" s="394"/>
      <c r="C9" s="394"/>
      <c r="D9" s="394"/>
      <c r="E9" s="927"/>
      <c r="F9" s="394"/>
      <c r="G9" s="394"/>
      <c r="H9" s="394"/>
      <c r="I9" s="394"/>
      <c r="J9" s="394"/>
      <c r="K9" s="931"/>
      <c r="L9" s="898"/>
    </row>
    <row r="10" spans="1:16" ht="15">
      <c r="A10" s="718" t="s">
        <v>461</v>
      </c>
      <c r="B10" s="394">
        <v>0</v>
      </c>
      <c r="C10" s="394">
        <v>0</v>
      </c>
      <c r="D10" s="394">
        <v>0</v>
      </c>
      <c r="E10" s="394">
        <f>B10+C10-D10</f>
        <v>0</v>
      </c>
      <c r="F10" s="394">
        <v>0</v>
      </c>
      <c r="G10" s="394">
        <f t="shared" ref="G10:I10" si="0">D10+E10-F10</f>
        <v>0</v>
      </c>
      <c r="H10" s="394">
        <f t="shared" si="0"/>
        <v>0</v>
      </c>
      <c r="I10" s="394">
        <f t="shared" si="0"/>
        <v>0</v>
      </c>
      <c r="J10" s="342">
        <f>E10-I10</f>
        <v>0</v>
      </c>
      <c r="K10" s="931">
        <f>F10-J10</f>
        <v>0</v>
      </c>
      <c r="L10" s="898"/>
    </row>
    <row r="11" spans="1:16" ht="15">
      <c r="A11" s="718" t="s">
        <v>462</v>
      </c>
      <c r="B11" s="394">
        <v>0</v>
      </c>
      <c r="C11" s="394">
        <v>0</v>
      </c>
      <c r="D11" s="394">
        <v>0</v>
      </c>
      <c r="E11" s="394">
        <f>B11+C11-D11</f>
        <v>0</v>
      </c>
      <c r="F11" s="394">
        <v>0</v>
      </c>
      <c r="G11" s="394">
        <v>0</v>
      </c>
      <c r="H11" s="394">
        <v>0</v>
      </c>
      <c r="I11" s="394">
        <f>+G11+F11-H11</f>
        <v>0</v>
      </c>
      <c r="J11" s="342">
        <f t="shared" ref="J11:K43" si="1">E11-I11</f>
        <v>0</v>
      </c>
      <c r="K11" s="931">
        <f t="shared" si="1"/>
        <v>0</v>
      </c>
      <c r="L11" s="898"/>
    </row>
    <row r="12" spans="1:16" ht="15">
      <c r="A12" s="718"/>
      <c r="B12" s="394"/>
      <c r="C12" s="394"/>
      <c r="D12" s="394"/>
      <c r="E12" s="394"/>
      <c r="F12" s="394"/>
      <c r="G12" s="394"/>
      <c r="H12" s="394"/>
      <c r="I12" s="394"/>
      <c r="J12" s="342"/>
      <c r="K12" s="931"/>
      <c r="L12" s="898"/>
    </row>
    <row r="13" spans="1:16" ht="15">
      <c r="A13" s="718" t="s">
        <v>463</v>
      </c>
      <c r="B13" s="394">
        <v>0</v>
      </c>
      <c r="C13" s="394">
        <v>0</v>
      </c>
      <c r="D13" s="394">
        <v>0</v>
      </c>
      <c r="E13" s="394">
        <f>B13+C13-D13</f>
        <v>0</v>
      </c>
      <c r="F13" s="394">
        <v>0</v>
      </c>
      <c r="G13" s="394">
        <v>0</v>
      </c>
      <c r="H13" s="394">
        <v>0</v>
      </c>
      <c r="I13" s="394">
        <f>+G13+F13-H13</f>
        <v>0</v>
      </c>
      <c r="J13" s="342">
        <f t="shared" si="1"/>
        <v>0</v>
      </c>
      <c r="K13" s="931">
        <f t="shared" si="1"/>
        <v>0</v>
      </c>
      <c r="L13" s="898"/>
      <c r="N13" s="899"/>
      <c r="P13" s="799"/>
    </row>
    <row r="14" spans="1:16" ht="15">
      <c r="A14" s="718"/>
      <c r="B14" s="394"/>
      <c r="C14" s="394"/>
      <c r="D14" s="394"/>
      <c r="E14" s="394"/>
      <c r="F14" s="394"/>
      <c r="G14" s="394"/>
      <c r="H14" s="394"/>
      <c r="I14" s="394"/>
      <c r="J14" s="342"/>
      <c r="K14" s="931"/>
      <c r="L14" s="898"/>
      <c r="N14" s="899"/>
      <c r="P14" s="799"/>
    </row>
    <row r="15" spans="1:16" ht="15">
      <c r="A15" s="718" t="s">
        <v>464</v>
      </c>
      <c r="B15" s="394">
        <v>0</v>
      </c>
      <c r="C15" s="394">
        <v>0</v>
      </c>
      <c r="D15" s="394">
        <v>0</v>
      </c>
      <c r="E15" s="394">
        <f>B15+C15-D15</f>
        <v>0</v>
      </c>
      <c r="F15" s="394">
        <v>0</v>
      </c>
      <c r="G15" s="394">
        <v>0</v>
      </c>
      <c r="H15" s="394">
        <v>0</v>
      </c>
      <c r="I15" s="394">
        <f>+G15+F15-H15</f>
        <v>0</v>
      </c>
      <c r="J15" s="342">
        <f t="shared" si="1"/>
        <v>0</v>
      </c>
      <c r="K15" s="931">
        <f t="shared" si="1"/>
        <v>0</v>
      </c>
      <c r="L15" s="898"/>
      <c r="N15" s="899"/>
      <c r="P15" s="799"/>
    </row>
    <row r="16" spans="1:16" ht="15">
      <c r="A16" s="718"/>
      <c r="B16" s="394"/>
      <c r="C16" s="394"/>
      <c r="D16" s="394"/>
      <c r="E16" s="394"/>
      <c r="F16" s="394"/>
      <c r="G16" s="394"/>
      <c r="H16" s="394"/>
      <c r="I16" s="394"/>
      <c r="J16" s="342"/>
      <c r="K16" s="931"/>
      <c r="L16" s="898"/>
      <c r="N16" s="899"/>
      <c r="P16" s="799"/>
    </row>
    <row r="17" spans="1:16" ht="15">
      <c r="A17" s="718" t="s">
        <v>465</v>
      </c>
      <c r="B17" s="394">
        <v>0</v>
      </c>
      <c r="C17" s="394">
        <v>0</v>
      </c>
      <c r="D17" s="394">
        <v>0</v>
      </c>
      <c r="E17" s="394">
        <f>B17+C17-D17</f>
        <v>0</v>
      </c>
      <c r="F17" s="394">
        <v>0</v>
      </c>
      <c r="G17" s="394">
        <v>0</v>
      </c>
      <c r="H17" s="394">
        <v>0</v>
      </c>
      <c r="I17" s="394">
        <f>+G17+F17-H17</f>
        <v>0</v>
      </c>
      <c r="J17" s="342">
        <f t="shared" si="1"/>
        <v>0</v>
      </c>
      <c r="K17" s="931">
        <f t="shared" si="1"/>
        <v>0</v>
      </c>
      <c r="L17" s="898"/>
      <c r="N17" s="899"/>
      <c r="P17" s="799"/>
    </row>
    <row r="18" spans="1:16" ht="15">
      <c r="A18" s="718"/>
      <c r="B18" s="394"/>
      <c r="C18" s="394"/>
      <c r="D18" s="394"/>
      <c r="E18" s="394"/>
      <c r="F18" s="394"/>
      <c r="G18" s="394"/>
      <c r="H18" s="394"/>
      <c r="I18" s="394"/>
      <c r="J18" s="342"/>
      <c r="K18" s="931"/>
      <c r="L18" s="898"/>
      <c r="N18" s="899"/>
      <c r="P18" s="799"/>
    </row>
    <row r="19" spans="1:16" ht="15">
      <c r="A19" s="718" t="s">
        <v>466</v>
      </c>
      <c r="B19" s="394">
        <v>0</v>
      </c>
      <c r="C19" s="394">
        <v>0</v>
      </c>
      <c r="D19" s="394">
        <v>0</v>
      </c>
      <c r="E19" s="394">
        <f>B19+C19-D19</f>
        <v>0</v>
      </c>
      <c r="F19" s="394">
        <v>0</v>
      </c>
      <c r="G19" s="394">
        <v>0</v>
      </c>
      <c r="H19" s="394">
        <v>0</v>
      </c>
      <c r="I19" s="394">
        <f>+G19+F19-H19</f>
        <v>0</v>
      </c>
      <c r="J19" s="342">
        <f t="shared" si="1"/>
        <v>0</v>
      </c>
      <c r="K19" s="931">
        <f t="shared" si="1"/>
        <v>0</v>
      </c>
      <c r="L19" s="898"/>
      <c r="N19" s="899"/>
      <c r="P19" s="799"/>
    </row>
    <row r="20" spans="1:16" ht="15">
      <c r="A20" s="718"/>
      <c r="B20" s="394"/>
      <c r="C20" s="394"/>
      <c r="D20" s="394"/>
      <c r="E20" s="394"/>
      <c r="F20" s="394"/>
      <c r="G20" s="394"/>
      <c r="H20" s="394"/>
      <c r="I20" s="394"/>
      <c r="J20" s="342"/>
      <c r="K20" s="931"/>
      <c r="L20" s="898"/>
      <c r="N20" s="899"/>
      <c r="P20" s="799"/>
    </row>
    <row r="21" spans="1:16" ht="15">
      <c r="A21" s="718" t="s">
        <v>467</v>
      </c>
      <c r="B21" s="394">
        <v>0</v>
      </c>
      <c r="C21" s="394">
        <v>0</v>
      </c>
      <c r="D21" s="394">
        <v>0</v>
      </c>
      <c r="E21" s="394">
        <f>B21+C21-D21</f>
        <v>0</v>
      </c>
      <c r="F21" s="394">
        <v>0</v>
      </c>
      <c r="G21" s="394">
        <v>0</v>
      </c>
      <c r="H21" s="394">
        <v>0</v>
      </c>
      <c r="I21" s="394">
        <f>+G21+F21-H21</f>
        <v>0</v>
      </c>
      <c r="J21" s="342">
        <f t="shared" si="1"/>
        <v>0</v>
      </c>
      <c r="K21" s="931">
        <f t="shared" si="1"/>
        <v>0</v>
      </c>
      <c r="L21" s="898"/>
      <c r="N21" s="899"/>
      <c r="P21" s="799"/>
    </row>
    <row r="22" spans="1:16" ht="15">
      <c r="A22" s="718"/>
      <c r="B22" s="394"/>
      <c r="C22" s="394"/>
      <c r="D22" s="394"/>
      <c r="E22" s="394"/>
      <c r="F22" s="394"/>
      <c r="G22" s="394"/>
      <c r="H22" s="394"/>
      <c r="I22" s="394"/>
      <c r="J22" s="342"/>
      <c r="K22" s="931"/>
      <c r="L22" s="898"/>
      <c r="N22" s="899"/>
      <c r="P22" s="799"/>
    </row>
    <row r="23" spans="1:16" ht="15">
      <c r="A23" s="718" t="s">
        <v>468</v>
      </c>
      <c r="B23" s="394">
        <v>0</v>
      </c>
      <c r="C23" s="394">
        <v>0</v>
      </c>
      <c r="D23" s="394">
        <v>0</v>
      </c>
      <c r="E23" s="394">
        <f>B23+C23-D23</f>
        <v>0</v>
      </c>
      <c r="F23" s="394">
        <v>0</v>
      </c>
      <c r="G23" s="394">
        <v>0</v>
      </c>
      <c r="H23" s="394">
        <v>0</v>
      </c>
      <c r="I23" s="394">
        <f>+G23+F23-H23</f>
        <v>0</v>
      </c>
      <c r="J23" s="342">
        <f t="shared" si="1"/>
        <v>0</v>
      </c>
      <c r="K23" s="931">
        <f t="shared" si="1"/>
        <v>0</v>
      </c>
      <c r="L23" s="898"/>
      <c r="N23" s="899"/>
      <c r="P23" s="799"/>
    </row>
    <row r="24" spans="1:16" ht="15">
      <c r="A24" s="718"/>
      <c r="B24" s="394"/>
      <c r="C24" s="394"/>
      <c r="D24" s="394"/>
      <c r="E24" s="394"/>
      <c r="F24" s="394"/>
      <c r="G24" s="394"/>
      <c r="H24" s="394"/>
      <c r="I24" s="394"/>
      <c r="J24" s="342"/>
      <c r="K24" s="931"/>
      <c r="L24" s="898"/>
      <c r="N24" s="899"/>
      <c r="P24" s="799"/>
    </row>
    <row r="25" spans="1:16" ht="15">
      <c r="A25" s="718" t="s">
        <v>469</v>
      </c>
      <c r="B25" s="394">
        <v>10415971</v>
      </c>
      <c r="C25" s="394">
        <v>0</v>
      </c>
      <c r="D25" s="394">
        <v>0</v>
      </c>
      <c r="E25" s="394">
        <f>B25+C25-D25</f>
        <v>10415971</v>
      </c>
      <c r="F25" s="394">
        <v>9136728</v>
      </c>
      <c r="G25" s="394">
        <f>ROUND(E25*0.06,0)</f>
        <v>624958</v>
      </c>
      <c r="H25" s="394">
        <v>0</v>
      </c>
      <c r="I25" s="394">
        <f>+G25+F25-H25</f>
        <v>9761686</v>
      </c>
      <c r="J25" s="342">
        <f t="shared" si="1"/>
        <v>654285</v>
      </c>
      <c r="K25" s="931">
        <f t="shared" si="1"/>
        <v>8482443</v>
      </c>
      <c r="L25" s="898"/>
      <c r="N25" s="899"/>
      <c r="P25" s="799"/>
    </row>
    <row r="26" spans="1:16" ht="15">
      <c r="A26" s="718"/>
      <c r="B26" s="394"/>
      <c r="C26" s="394"/>
      <c r="D26" s="394"/>
      <c r="E26" s="394"/>
      <c r="F26" s="394"/>
      <c r="G26" s="394"/>
      <c r="H26" s="394"/>
      <c r="I26" s="394"/>
      <c r="J26" s="342"/>
      <c r="K26" s="931"/>
      <c r="L26" s="898"/>
      <c r="N26" s="899"/>
      <c r="P26" s="799"/>
    </row>
    <row r="27" spans="1:16" ht="15">
      <c r="A27" s="718" t="s">
        <v>470</v>
      </c>
      <c r="B27" s="394">
        <v>0</v>
      </c>
      <c r="C27" s="394">
        <v>0</v>
      </c>
      <c r="D27" s="394">
        <v>0</v>
      </c>
      <c r="E27" s="394">
        <f>B27+C27-D27</f>
        <v>0</v>
      </c>
      <c r="F27" s="394">
        <v>0</v>
      </c>
      <c r="G27" s="394">
        <v>0</v>
      </c>
      <c r="H27" s="394">
        <v>0</v>
      </c>
      <c r="I27" s="394">
        <f>+G27+F27-H27</f>
        <v>0</v>
      </c>
      <c r="J27" s="342">
        <f t="shared" si="1"/>
        <v>0</v>
      </c>
      <c r="K27" s="931">
        <f t="shared" si="1"/>
        <v>0</v>
      </c>
      <c r="L27" s="898"/>
      <c r="N27" s="899"/>
      <c r="P27" s="799"/>
    </row>
    <row r="28" spans="1:16" ht="15">
      <c r="A28" s="718"/>
      <c r="B28" s="394"/>
      <c r="C28" s="394"/>
      <c r="D28" s="394"/>
      <c r="E28" s="394"/>
      <c r="F28" s="394"/>
      <c r="G28" s="394"/>
      <c r="H28" s="394"/>
      <c r="I28" s="394"/>
      <c r="J28" s="342"/>
      <c r="K28" s="931"/>
      <c r="L28" s="898"/>
      <c r="N28" s="899"/>
      <c r="P28" s="799"/>
    </row>
    <row r="29" spans="1:16" ht="15">
      <c r="A29" s="718" t="s">
        <v>471</v>
      </c>
      <c r="B29" s="394">
        <v>0</v>
      </c>
      <c r="C29" s="394">
        <v>0</v>
      </c>
      <c r="D29" s="394">
        <v>0</v>
      </c>
      <c r="E29" s="394">
        <f>B29+C29-D29</f>
        <v>0</v>
      </c>
      <c r="F29" s="394">
        <v>0</v>
      </c>
      <c r="G29" s="394">
        <v>0</v>
      </c>
      <c r="H29" s="394">
        <v>0</v>
      </c>
      <c r="I29" s="394">
        <f>+G29+F29-H29</f>
        <v>0</v>
      </c>
      <c r="J29" s="342">
        <f t="shared" si="1"/>
        <v>0</v>
      </c>
      <c r="K29" s="931">
        <f t="shared" si="1"/>
        <v>0</v>
      </c>
      <c r="L29" s="898"/>
      <c r="N29" s="899"/>
      <c r="P29" s="799"/>
    </row>
    <row r="30" spans="1:16" ht="15">
      <c r="A30" s="718"/>
      <c r="B30" s="394"/>
      <c r="C30" s="394"/>
      <c r="D30" s="394"/>
      <c r="E30" s="394"/>
      <c r="F30" s="394"/>
      <c r="G30" s="394"/>
      <c r="H30" s="394"/>
      <c r="I30" s="394"/>
      <c r="J30" s="342"/>
      <c r="K30" s="931"/>
      <c r="L30" s="898"/>
      <c r="N30" s="899"/>
      <c r="P30" s="799"/>
    </row>
    <row r="31" spans="1:16" ht="15">
      <c r="A31" s="718" t="s">
        <v>472</v>
      </c>
      <c r="B31" s="394">
        <v>0</v>
      </c>
      <c r="C31" s="394">
        <v>0</v>
      </c>
      <c r="D31" s="394">
        <v>0</v>
      </c>
      <c r="E31" s="394">
        <f>B31+C31-D31</f>
        <v>0</v>
      </c>
      <c r="F31" s="394">
        <v>0</v>
      </c>
      <c r="G31" s="394">
        <v>0</v>
      </c>
      <c r="H31" s="394">
        <v>0</v>
      </c>
      <c r="I31" s="394">
        <f>+G31+F31-H31</f>
        <v>0</v>
      </c>
      <c r="J31" s="342">
        <f t="shared" si="1"/>
        <v>0</v>
      </c>
      <c r="K31" s="931">
        <f t="shared" si="1"/>
        <v>0</v>
      </c>
      <c r="L31" s="898"/>
      <c r="N31" s="899"/>
      <c r="P31" s="799"/>
    </row>
    <row r="32" spans="1:16" ht="15">
      <c r="A32" s="718"/>
      <c r="B32" s="394"/>
      <c r="C32" s="394"/>
      <c r="D32" s="394"/>
      <c r="E32" s="394"/>
      <c r="F32" s="394"/>
      <c r="G32" s="394"/>
      <c r="H32" s="394"/>
      <c r="I32" s="394"/>
      <c r="J32" s="342"/>
      <c r="K32" s="931"/>
      <c r="L32" s="898"/>
      <c r="N32" s="899"/>
      <c r="P32" s="799"/>
    </row>
    <row r="33" spans="1:16" ht="15">
      <c r="A33" s="718" t="s">
        <v>473</v>
      </c>
      <c r="B33" s="394">
        <v>0</v>
      </c>
      <c r="C33" s="394">
        <v>0</v>
      </c>
      <c r="D33" s="394">
        <v>0</v>
      </c>
      <c r="E33" s="394">
        <f>B33+C33-D33</f>
        <v>0</v>
      </c>
      <c r="F33" s="394">
        <v>0</v>
      </c>
      <c r="G33" s="394">
        <v>0</v>
      </c>
      <c r="H33" s="394">
        <v>0</v>
      </c>
      <c r="I33" s="394">
        <f>+G33+F33-H33</f>
        <v>0</v>
      </c>
      <c r="J33" s="342">
        <f t="shared" si="1"/>
        <v>0</v>
      </c>
      <c r="K33" s="931">
        <f t="shared" si="1"/>
        <v>0</v>
      </c>
      <c r="L33" s="898"/>
      <c r="N33" s="899"/>
      <c r="P33" s="799"/>
    </row>
    <row r="34" spans="1:16" ht="15">
      <c r="A34" s="718"/>
      <c r="B34" s="394"/>
      <c r="C34" s="394"/>
      <c r="D34" s="394"/>
      <c r="E34" s="394"/>
      <c r="F34" s="394"/>
      <c r="G34" s="394"/>
      <c r="H34" s="394"/>
      <c r="I34" s="394"/>
      <c r="J34" s="342"/>
      <c r="K34" s="931"/>
      <c r="L34" s="898"/>
      <c r="N34" s="899"/>
      <c r="P34" s="799"/>
    </row>
    <row r="35" spans="1:16" ht="15">
      <c r="A35" s="718" t="s">
        <v>474</v>
      </c>
      <c r="B35" s="394">
        <v>0</v>
      </c>
      <c r="C35" s="394">
        <v>0</v>
      </c>
      <c r="D35" s="394">
        <v>0</v>
      </c>
      <c r="E35" s="394">
        <f>B35+C35-D35</f>
        <v>0</v>
      </c>
      <c r="F35" s="394">
        <v>0</v>
      </c>
      <c r="G35" s="394">
        <v>0</v>
      </c>
      <c r="H35" s="394">
        <v>0</v>
      </c>
      <c r="I35" s="394">
        <f>+G35+F35-H35</f>
        <v>0</v>
      </c>
      <c r="J35" s="342">
        <f t="shared" si="1"/>
        <v>0</v>
      </c>
      <c r="K35" s="931">
        <f t="shared" si="1"/>
        <v>0</v>
      </c>
      <c r="L35" s="898"/>
      <c r="N35" s="899"/>
      <c r="P35" s="799"/>
    </row>
    <row r="36" spans="1:16" ht="15">
      <c r="A36" s="718"/>
      <c r="B36" s="394"/>
      <c r="C36" s="394"/>
      <c r="D36" s="394"/>
      <c r="E36" s="394"/>
      <c r="F36" s="394"/>
      <c r="G36" s="394"/>
      <c r="H36" s="394"/>
      <c r="I36" s="394"/>
      <c r="J36" s="342"/>
      <c r="K36" s="931"/>
      <c r="L36" s="898"/>
      <c r="N36" s="899"/>
      <c r="P36" s="799"/>
    </row>
    <row r="37" spans="1:16" ht="15">
      <c r="A37" s="718" t="s">
        <v>475</v>
      </c>
      <c r="B37" s="394">
        <v>0</v>
      </c>
      <c r="C37" s="394">
        <v>0</v>
      </c>
      <c r="D37" s="394">
        <v>0</v>
      </c>
      <c r="E37" s="394">
        <f>B37+C37-D37</f>
        <v>0</v>
      </c>
      <c r="F37" s="394">
        <v>0</v>
      </c>
      <c r="G37" s="394">
        <v>0</v>
      </c>
      <c r="H37" s="394">
        <v>0</v>
      </c>
      <c r="I37" s="394">
        <f>+G37+F37-H37</f>
        <v>0</v>
      </c>
      <c r="J37" s="342">
        <f t="shared" si="1"/>
        <v>0</v>
      </c>
      <c r="K37" s="931">
        <f t="shared" si="1"/>
        <v>0</v>
      </c>
      <c r="L37" s="898"/>
      <c r="N37" s="899"/>
      <c r="P37" s="799"/>
    </row>
    <row r="38" spans="1:16" ht="15">
      <c r="A38" s="718"/>
      <c r="B38" s="394"/>
      <c r="C38" s="394"/>
      <c r="D38" s="394"/>
      <c r="E38" s="394"/>
      <c r="F38" s="394"/>
      <c r="G38" s="394"/>
      <c r="H38" s="394"/>
      <c r="I38" s="394"/>
      <c r="J38" s="342"/>
      <c r="K38" s="931"/>
      <c r="L38" s="898"/>
      <c r="N38" s="899"/>
      <c r="P38" s="799"/>
    </row>
    <row r="39" spans="1:16" ht="15">
      <c r="A39" s="718" t="s">
        <v>476</v>
      </c>
      <c r="B39" s="394">
        <v>0</v>
      </c>
      <c r="C39" s="394">
        <v>0</v>
      </c>
      <c r="D39" s="394">
        <v>0</v>
      </c>
      <c r="E39" s="394">
        <f>B39+C39-D39</f>
        <v>0</v>
      </c>
      <c r="F39" s="394">
        <v>0</v>
      </c>
      <c r="G39" s="394">
        <v>0</v>
      </c>
      <c r="H39" s="394">
        <v>0</v>
      </c>
      <c r="I39" s="394">
        <f>+G39+F39-H39</f>
        <v>0</v>
      </c>
      <c r="J39" s="342">
        <f t="shared" si="1"/>
        <v>0</v>
      </c>
      <c r="K39" s="931">
        <f t="shared" si="1"/>
        <v>0</v>
      </c>
      <c r="L39" s="898"/>
      <c r="N39" s="899"/>
      <c r="P39" s="799"/>
    </row>
    <row r="40" spans="1:16" ht="15">
      <c r="A40" s="718"/>
      <c r="B40" s="394"/>
      <c r="C40" s="394"/>
      <c r="D40" s="394"/>
      <c r="E40" s="394"/>
      <c r="F40" s="394"/>
      <c r="G40" s="394"/>
      <c r="H40" s="394"/>
      <c r="I40" s="394"/>
      <c r="J40" s="342"/>
      <c r="K40" s="931"/>
      <c r="L40" s="898"/>
      <c r="N40" s="899"/>
      <c r="P40" s="799"/>
    </row>
    <row r="41" spans="1:16" ht="15">
      <c r="A41" s="718" t="s">
        <v>477</v>
      </c>
      <c r="B41" s="394">
        <v>0</v>
      </c>
      <c r="C41" s="394">
        <v>0</v>
      </c>
      <c r="D41" s="394">
        <v>0</v>
      </c>
      <c r="E41" s="394">
        <f>B41+C41-D41</f>
        <v>0</v>
      </c>
      <c r="F41" s="276"/>
      <c r="G41" s="276"/>
      <c r="H41" s="276"/>
      <c r="I41" s="394"/>
      <c r="J41" s="342">
        <f t="shared" si="1"/>
        <v>0</v>
      </c>
      <c r="K41" s="931">
        <f t="shared" si="1"/>
        <v>0</v>
      </c>
      <c r="L41" s="898"/>
      <c r="N41" s="899"/>
      <c r="P41" s="799"/>
    </row>
    <row r="42" spans="1:16" ht="15">
      <c r="A42" s="718"/>
      <c r="B42" s="394"/>
      <c r="C42" s="394"/>
      <c r="D42" s="394"/>
      <c r="E42" s="394"/>
      <c r="F42" s="276"/>
      <c r="G42" s="276"/>
      <c r="H42" s="276"/>
      <c r="I42" s="394"/>
      <c r="J42" s="342"/>
      <c r="K42" s="931"/>
      <c r="L42" s="898"/>
      <c r="N42" s="899"/>
      <c r="P42" s="799"/>
    </row>
    <row r="43" spans="1:16" ht="15">
      <c r="A43" s="718" t="s">
        <v>478</v>
      </c>
      <c r="B43" s="394">
        <v>0</v>
      </c>
      <c r="C43" s="394">
        <v>0</v>
      </c>
      <c r="D43" s="394">
        <v>0</v>
      </c>
      <c r="E43" s="394">
        <f>B43+C43-D43</f>
        <v>0</v>
      </c>
      <c r="F43" s="394">
        <v>0</v>
      </c>
      <c r="G43" s="394">
        <v>0</v>
      </c>
      <c r="H43" s="394">
        <v>0</v>
      </c>
      <c r="I43" s="394">
        <f>+G43+F43-H43</f>
        <v>0</v>
      </c>
      <c r="J43" s="342">
        <f t="shared" si="1"/>
        <v>0</v>
      </c>
      <c r="K43" s="931">
        <f t="shared" si="1"/>
        <v>0</v>
      </c>
      <c r="L43" s="898"/>
      <c r="N43" s="899"/>
      <c r="P43" s="799"/>
    </row>
    <row r="44" spans="1:16" ht="15">
      <c r="A44" s="718"/>
      <c r="B44" s="394"/>
      <c r="C44" s="394"/>
      <c r="D44" s="394"/>
      <c r="E44" s="394"/>
      <c r="F44" s="394"/>
      <c r="G44" s="394"/>
      <c r="H44" s="394"/>
      <c r="I44" s="394"/>
      <c r="J44" s="342"/>
      <c r="K44" s="931"/>
      <c r="L44" s="898"/>
      <c r="N44" s="899"/>
      <c r="P44" s="799"/>
    </row>
    <row r="45" spans="1:16" ht="15">
      <c r="A45" s="718"/>
      <c r="B45" s="394"/>
      <c r="C45" s="394"/>
      <c r="D45" s="394"/>
      <c r="E45" s="394"/>
      <c r="F45" s="394"/>
      <c r="G45" s="394"/>
      <c r="H45" s="394"/>
      <c r="I45" s="394"/>
      <c r="J45" s="342"/>
      <c r="K45" s="931"/>
      <c r="L45" s="898"/>
      <c r="N45" s="899"/>
      <c r="P45" s="799"/>
    </row>
    <row r="46" spans="1:16" s="380" customFormat="1" ht="15.75">
      <c r="A46" s="520" t="s">
        <v>479</v>
      </c>
      <c r="B46" s="342">
        <f>SUM(B10:B45)</f>
        <v>10415971</v>
      </c>
      <c r="C46" s="342">
        <f>SUM(C10:C45)</f>
        <v>0</v>
      </c>
      <c r="D46" s="342">
        <f>SUM(D10:D45)</f>
        <v>0</v>
      </c>
      <c r="E46" s="342">
        <f>SUM(E10:E45)</f>
        <v>10415971</v>
      </c>
      <c r="F46" s="342">
        <f>SUM(F11:F45)</f>
        <v>9136728</v>
      </c>
      <c r="G46" s="342">
        <f>SUM(G11:G45)</f>
        <v>624958</v>
      </c>
      <c r="H46" s="342">
        <f>SUM(H11:H45)</f>
        <v>0</v>
      </c>
      <c r="I46" s="342">
        <f>+F46+G46-H46</f>
        <v>9761686</v>
      </c>
      <c r="J46" s="342">
        <f t="shared" ref="J46:K48" si="2">+E46-I46</f>
        <v>654285</v>
      </c>
      <c r="K46" s="932">
        <f t="shared" si="2"/>
        <v>8482443</v>
      </c>
      <c r="L46" s="900"/>
      <c r="N46" s="405"/>
    </row>
    <row r="47" spans="1:16" ht="15">
      <c r="A47" s="718" t="s">
        <v>480</v>
      </c>
      <c r="B47" s="394">
        <v>0</v>
      </c>
      <c r="C47" s="394">
        <v>0</v>
      </c>
      <c r="D47" s="394">
        <v>0</v>
      </c>
      <c r="E47" s="394">
        <f>B47+C47-D47</f>
        <v>0</v>
      </c>
      <c r="F47" s="394"/>
      <c r="G47" s="394"/>
      <c r="H47" s="394"/>
      <c r="I47" s="342"/>
      <c r="J47" s="342">
        <f t="shared" si="2"/>
        <v>0</v>
      </c>
      <c r="K47" s="931">
        <f t="shared" si="2"/>
        <v>0</v>
      </c>
      <c r="L47" s="898"/>
      <c r="N47" s="899"/>
    </row>
    <row r="48" spans="1:16" ht="15.75">
      <c r="A48" s="520" t="s">
        <v>12</v>
      </c>
      <c r="B48" s="342">
        <f t="shared" ref="B48:H48" si="3">+B46+B47</f>
        <v>10415971</v>
      </c>
      <c r="C48" s="342">
        <f t="shared" si="3"/>
        <v>0</v>
      </c>
      <c r="D48" s="342">
        <f t="shared" si="3"/>
        <v>0</v>
      </c>
      <c r="E48" s="342">
        <f t="shared" si="3"/>
        <v>10415971</v>
      </c>
      <c r="F48" s="342">
        <f t="shared" si="3"/>
        <v>9136728</v>
      </c>
      <c r="G48" s="342">
        <f t="shared" si="3"/>
        <v>624958</v>
      </c>
      <c r="H48" s="342">
        <f t="shared" si="3"/>
        <v>0</v>
      </c>
      <c r="I48" s="342">
        <f>+F48+G48-H48</f>
        <v>9761686</v>
      </c>
      <c r="J48" s="342">
        <f t="shared" si="2"/>
        <v>654285</v>
      </c>
      <c r="K48" s="933">
        <f t="shared" si="2"/>
        <v>8482443</v>
      </c>
      <c r="L48" s="901"/>
      <c r="M48" s="799"/>
      <c r="N48" s="899"/>
      <c r="O48" s="799"/>
      <c r="P48" s="799"/>
    </row>
    <row r="49" spans="1:16" ht="15.75">
      <c r="A49" s="1243"/>
      <c r="B49" s="1244"/>
      <c r="C49" s="1244"/>
      <c r="D49" s="1244"/>
      <c r="E49" s="1244"/>
      <c r="F49" s="1244"/>
      <c r="G49" s="1244"/>
      <c r="H49" s="1244"/>
      <c r="I49" s="1244"/>
      <c r="J49" s="1244"/>
      <c r="K49" s="1244"/>
      <c r="L49" s="1245"/>
      <c r="M49" s="799"/>
      <c r="N49" s="899"/>
      <c r="O49" s="799"/>
      <c r="P49" s="799"/>
    </row>
    <row r="50" spans="1:16">
      <c r="A50" s="356"/>
      <c r="B50" s="570"/>
      <c r="C50" s="570"/>
      <c r="D50" s="570"/>
      <c r="E50" s="570"/>
      <c r="F50" s="352"/>
      <c r="G50" s="570"/>
      <c r="H50" s="352"/>
      <c r="I50" s="570"/>
      <c r="J50" s="352"/>
      <c r="K50" s="570"/>
    </row>
    <row r="51" spans="1:16">
      <c r="A51" s="1374" t="s">
        <v>20</v>
      </c>
      <c r="B51" s="1374"/>
      <c r="C51" s="1374"/>
      <c r="D51" s="1374"/>
      <c r="E51" s="1374"/>
      <c r="F51" s="1374"/>
      <c r="G51" s="1374"/>
      <c r="H51" s="1374"/>
      <c r="I51" s="1374"/>
      <c r="J51" s="1374"/>
      <c r="K51" s="1374"/>
    </row>
    <row r="52" spans="1:16">
      <c r="A52" s="356"/>
      <c r="B52" s="352"/>
      <c r="C52" s="570"/>
      <c r="D52" s="570"/>
      <c r="E52" s="352"/>
      <c r="F52" s="570"/>
      <c r="G52" s="570"/>
      <c r="H52" s="570"/>
      <c r="I52" s="352"/>
      <c r="J52" s="570"/>
      <c r="K52" s="570"/>
    </row>
    <row r="53" spans="1:16">
      <c r="A53" s="356"/>
      <c r="B53" s="352"/>
      <c r="C53" s="352"/>
      <c r="D53" s="570"/>
      <c r="E53" s="570"/>
      <c r="F53" s="352"/>
      <c r="G53" s="570"/>
      <c r="H53" s="570"/>
      <c r="I53" s="352"/>
      <c r="J53" s="352"/>
      <c r="K53" s="570"/>
    </row>
    <row r="54" spans="1:16">
      <c r="A54" s="356"/>
      <c r="B54" s="352"/>
      <c r="C54" s="352"/>
      <c r="D54" s="570"/>
      <c r="E54" s="570"/>
      <c r="F54" s="570"/>
      <c r="G54" s="352"/>
      <c r="H54" s="570"/>
      <c r="I54" s="570"/>
      <c r="J54" s="352"/>
      <c r="K54" s="570"/>
    </row>
    <row r="55" spans="1:16">
      <c r="B55" s="876"/>
      <c r="C55" s="876"/>
    </row>
    <row r="57" spans="1:16">
      <c r="B57" s="876"/>
      <c r="C57" s="876"/>
    </row>
    <row r="58" spans="1:16">
      <c r="B58" s="876"/>
    </row>
    <row r="60" spans="1:16">
      <c r="B60" s="876"/>
    </row>
  </sheetData>
  <customSheetViews>
    <customSheetView guid="{B1076A3F-74CA-4685-9B64-0249438E4A9A}" showPageBreaks="1" printArea="1" view="pageBreakPreview">
      <pane xSplit="1" ySplit="8" topLeftCell="B48" state="frozen"/>
      <selection activeCell="K50" sqref="K50"/>
      <pageMargins left="0" right="0" top="0" bottom="0" header="0.35433070866141703" footer="0.35433070866141703"/>
      <printOptions horizontalCentered="1" verticalCentered="1"/>
      <pageSetup paperSize="9" scale="70" orientation="landscape"/>
      <headerFooter alignWithMargins="0"/>
    </customSheetView>
    <customSheetView guid="{789595AE-36A2-4B02-81C2-3D94932E7381}" showPageBreaks="1" printArea="1" view="pageBreakPreview">
      <pane xSplit="1" ySplit="8" topLeftCell="B48" state="frozen"/>
      <selection activeCell="K50" sqref="K50"/>
      <pageMargins left="0" right="0" top="0" bottom="0" header="0.35433070866141703" footer="0.35433070866141703"/>
      <printOptions horizontalCentered="1" verticalCentered="1"/>
      <pageSetup paperSize="9" scale="70" orientation="landscape"/>
      <headerFooter alignWithMargins="0"/>
    </customSheetView>
  </customSheetViews>
  <mergeCells count="18">
    <mergeCell ref="A1:K1"/>
    <mergeCell ref="A2:K2"/>
    <mergeCell ref="I3:J3"/>
    <mergeCell ref="B4:E4"/>
    <mergeCell ref="F4:I4"/>
    <mergeCell ref="L4:L6"/>
    <mergeCell ref="A51:K51"/>
    <mergeCell ref="A5:A6"/>
    <mergeCell ref="B5:B6"/>
    <mergeCell ref="C5:C6"/>
    <mergeCell ref="D5:D6"/>
    <mergeCell ref="E5:E6"/>
    <mergeCell ref="F5:F6"/>
    <mergeCell ref="G5:G6"/>
    <mergeCell ref="H5:H6"/>
    <mergeCell ref="I5:I6"/>
    <mergeCell ref="J5:J6"/>
    <mergeCell ref="K5:K6"/>
  </mergeCells>
  <printOptions horizontalCentered="1" verticalCentered="1"/>
  <pageMargins left="0" right="0" top="0" bottom="0" header="0.35433070866141703" footer="0.31496062992126"/>
  <pageSetup paperSize="9" scale="6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61"/>
  <sheetViews>
    <sheetView view="pageBreakPreview" zoomScaleNormal="125" workbookViewId="0">
      <pane xSplit="1" ySplit="7" topLeftCell="B38" activePane="bottomRight" state="frozen"/>
      <selection pane="topRight"/>
      <selection pane="bottomLeft"/>
      <selection pane="bottomRight" activeCell="H49" sqref="H49"/>
    </sheetView>
  </sheetViews>
  <sheetFormatPr defaultColWidth="23.28515625" defaultRowHeight="15"/>
  <cols>
    <col min="1" max="1" width="43.140625" style="903" customWidth="1"/>
    <col min="2" max="2" width="15.7109375" style="359" customWidth="1"/>
    <col min="3" max="3" width="10.85546875" style="359" customWidth="1"/>
    <col min="4" max="4" width="11.7109375" style="359" customWidth="1"/>
    <col min="5" max="5" width="11.42578125" style="359" customWidth="1"/>
    <col min="6" max="6" width="12.7109375" style="359" customWidth="1"/>
    <col min="7" max="7" width="12.85546875" style="359" customWidth="1"/>
    <col min="8" max="8" width="12.7109375" style="359" customWidth="1"/>
    <col min="9" max="9" width="9.85546875" style="359" customWidth="1"/>
    <col min="10" max="10" width="12.140625" style="359" customWidth="1"/>
    <col min="11" max="11" width="11.140625" style="359" customWidth="1"/>
    <col min="12" max="12" width="12.42578125" style="359" customWidth="1"/>
    <col min="13" max="13" width="12.140625" style="359" customWidth="1"/>
    <col min="14" max="15" width="23.28515625" style="359" customWidth="1"/>
    <col min="16" max="16384" width="23.28515625" style="359"/>
  </cols>
  <sheetData>
    <row r="1" spans="1:17" s="903" customFormat="1">
      <c r="A1" s="1405" t="s">
        <v>1910</v>
      </c>
      <c r="B1" s="1405"/>
      <c r="C1" s="1405"/>
      <c r="D1" s="1405"/>
      <c r="E1" s="1405"/>
      <c r="F1" s="1405"/>
      <c r="G1" s="1405"/>
      <c r="H1" s="1405"/>
      <c r="I1" s="1405"/>
      <c r="J1" s="1405"/>
      <c r="K1" s="1405"/>
    </row>
    <row r="2" spans="1:17" s="903" customFormat="1">
      <c r="A2" s="1405" t="s">
        <v>43</v>
      </c>
      <c r="B2" s="1405"/>
      <c r="C2" s="1405"/>
      <c r="D2" s="1405"/>
      <c r="E2" s="1405"/>
      <c r="F2" s="1405"/>
      <c r="G2" s="1405"/>
      <c r="H2" s="1405"/>
      <c r="I2" s="1405"/>
      <c r="J2" s="1405"/>
      <c r="K2" s="1405"/>
    </row>
    <row r="3" spans="1:17" s="903" customFormat="1">
      <c r="A3" s="765"/>
      <c r="B3" s="603"/>
      <c r="C3" s="603"/>
      <c r="D3" s="603"/>
      <c r="E3" s="603"/>
      <c r="F3" s="603"/>
      <c r="G3" s="603"/>
      <c r="H3" s="603"/>
      <c r="I3" s="1424" t="s">
        <v>68</v>
      </c>
      <c r="J3" s="1424"/>
      <c r="K3" s="913"/>
    </row>
    <row r="4" spans="1:17" s="904" customFormat="1" ht="36.75" customHeight="1">
      <c r="A4" s="906" t="s">
        <v>499</v>
      </c>
      <c r="B4" s="1425" t="s">
        <v>483</v>
      </c>
      <c r="C4" s="1425"/>
      <c r="D4" s="1425"/>
      <c r="E4" s="1425"/>
      <c r="F4" s="1425" t="s">
        <v>39</v>
      </c>
      <c r="G4" s="1425"/>
      <c r="H4" s="1425"/>
      <c r="I4" s="1425"/>
      <c r="J4" s="908" t="s">
        <v>447</v>
      </c>
      <c r="K4" s="914"/>
      <c r="L4" s="1417"/>
    </row>
    <row r="5" spans="1:17" s="905" customFormat="1" ht="12.75" customHeight="1">
      <c r="A5" s="1419" t="s">
        <v>448</v>
      </c>
      <c r="B5" s="1419" t="s">
        <v>449</v>
      </c>
      <c r="C5" s="1419" t="s">
        <v>450</v>
      </c>
      <c r="D5" s="1419" t="s">
        <v>451</v>
      </c>
      <c r="E5" s="1419" t="s">
        <v>452</v>
      </c>
      <c r="F5" s="1419" t="s">
        <v>453</v>
      </c>
      <c r="G5" s="1419" t="s">
        <v>454</v>
      </c>
      <c r="H5" s="1420" t="s">
        <v>455</v>
      </c>
      <c r="I5" s="1421" t="s">
        <v>485</v>
      </c>
      <c r="J5" s="1419" t="s">
        <v>457</v>
      </c>
      <c r="K5" s="1422" t="s">
        <v>458</v>
      </c>
      <c r="L5" s="1418"/>
    </row>
    <row r="6" spans="1:17" s="905" customFormat="1" ht="48.75" customHeight="1">
      <c r="A6" s="1419"/>
      <c r="B6" s="1419"/>
      <c r="C6" s="1419"/>
      <c r="D6" s="1419"/>
      <c r="E6" s="1419"/>
      <c r="F6" s="1419"/>
      <c r="G6" s="1419"/>
      <c r="H6" s="1420"/>
      <c r="I6" s="1421"/>
      <c r="J6" s="1419"/>
      <c r="K6" s="1423"/>
      <c r="L6" s="1418"/>
    </row>
    <row r="7" spans="1:17" s="904" customFormat="1">
      <c r="A7" s="908"/>
      <c r="B7" s="907">
        <v>1</v>
      </c>
      <c r="C7" s="907">
        <v>2</v>
      </c>
      <c r="D7" s="907">
        <v>3</v>
      </c>
      <c r="E7" s="907">
        <v>4</v>
      </c>
      <c r="F7" s="907">
        <v>5</v>
      </c>
      <c r="G7" s="907">
        <v>6</v>
      </c>
      <c r="H7" s="907">
        <v>7</v>
      </c>
      <c r="I7" s="907">
        <v>8</v>
      </c>
      <c r="J7" s="907">
        <v>9</v>
      </c>
      <c r="K7" s="916">
        <v>10</v>
      </c>
      <c r="L7" s="915"/>
    </row>
    <row r="8" spans="1:17">
      <c r="A8" s="718" t="s">
        <v>459</v>
      </c>
      <c r="B8" s="780"/>
      <c r="C8" s="780"/>
      <c r="D8" s="780"/>
      <c r="E8" s="780"/>
      <c r="F8" s="780"/>
      <c r="G8" s="780"/>
      <c r="H8" s="780"/>
      <c r="I8" s="780"/>
      <c r="J8" s="780"/>
      <c r="K8" s="917"/>
      <c r="L8" s="918"/>
    </row>
    <row r="9" spans="1:17">
      <c r="A9" s="718" t="s">
        <v>460</v>
      </c>
      <c r="B9" s="780"/>
      <c r="C9" s="780"/>
      <c r="D9" s="780"/>
      <c r="E9" s="909"/>
      <c r="F9" s="780"/>
      <c r="G9" s="780"/>
      <c r="H9" s="780"/>
      <c r="I9" s="780"/>
      <c r="J9" s="780"/>
      <c r="K9" s="917"/>
      <c r="L9" s="919"/>
    </row>
    <row r="10" spans="1:17">
      <c r="A10" s="718" t="s">
        <v>461</v>
      </c>
      <c r="B10" s="394">
        <v>0</v>
      </c>
      <c r="C10" s="394">
        <v>0</v>
      </c>
      <c r="D10" s="394">
        <v>0</v>
      </c>
      <c r="E10" s="394">
        <f>B10+C10-D10</f>
        <v>0</v>
      </c>
      <c r="F10" s="394">
        <v>0</v>
      </c>
      <c r="G10" s="394">
        <v>0</v>
      </c>
      <c r="H10" s="394">
        <v>0</v>
      </c>
      <c r="I10" s="394">
        <f>+G10+F10-H10</f>
        <v>0</v>
      </c>
      <c r="J10" s="342">
        <f>E10-I10</f>
        <v>0</v>
      </c>
      <c r="K10" s="917">
        <f t="shared" ref="K10:K40" si="0">F10-J10</f>
        <v>0</v>
      </c>
      <c r="L10" s="919"/>
      <c r="Q10" s="924"/>
    </row>
    <row r="11" spans="1:17">
      <c r="A11" s="718" t="s">
        <v>462</v>
      </c>
      <c r="B11" s="394">
        <v>0</v>
      </c>
      <c r="C11" s="394">
        <v>0</v>
      </c>
      <c r="D11" s="394">
        <v>0</v>
      </c>
      <c r="E11" s="394">
        <f>B11+C11-D11</f>
        <v>0</v>
      </c>
      <c r="F11" s="394">
        <v>0</v>
      </c>
      <c r="G11" s="394">
        <v>0</v>
      </c>
      <c r="H11" s="394">
        <v>0</v>
      </c>
      <c r="I11" s="394">
        <f>+G11+F11-H11</f>
        <v>0</v>
      </c>
      <c r="J11" s="342">
        <f t="shared" ref="J11:J43" si="1">E11-I11</f>
        <v>0</v>
      </c>
      <c r="K11" s="917"/>
      <c r="L11" s="919"/>
      <c r="Q11" s="924"/>
    </row>
    <row r="12" spans="1:17">
      <c r="A12" s="718"/>
      <c r="B12" s="394"/>
      <c r="C12" s="394"/>
      <c r="D12" s="394"/>
      <c r="E12" s="394"/>
      <c r="F12" s="394"/>
      <c r="G12" s="394"/>
      <c r="H12" s="394"/>
      <c r="I12" s="394"/>
      <c r="J12" s="342"/>
      <c r="K12" s="917">
        <f t="shared" si="0"/>
        <v>0</v>
      </c>
      <c r="L12" s="919"/>
      <c r="Q12" s="924"/>
    </row>
    <row r="13" spans="1:17">
      <c r="A13" s="718" t="s">
        <v>463</v>
      </c>
      <c r="B13" s="394">
        <v>0</v>
      </c>
      <c r="C13" s="394">
        <v>0</v>
      </c>
      <c r="D13" s="394">
        <v>0</v>
      </c>
      <c r="E13" s="394">
        <f>B13+C13-D13</f>
        <v>0</v>
      </c>
      <c r="F13" s="394">
        <v>0</v>
      </c>
      <c r="G13" s="394">
        <v>0</v>
      </c>
      <c r="H13" s="394">
        <v>0</v>
      </c>
      <c r="I13" s="394">
        <f>+G13+F13-H13</f>
        <v>0</v>
      </c>
      <c r="J13" s="342">
        <f t="shared" si="1"/>
        <v>0</v>
      </c>
      <c r="K13" s="917"/>
      <c r="L13" s="919"/>
      <c r="N13" s="920"/>
      <c r="Q13" s="924"/>
    </row>
    <row r="14" spans="1:17">
      <c r="A14" s="718"/>
      <c r="B14" s="394"/>
      <c r="C14" s="394"/>
      <c r="D14" s="394"/>
      <c r="E14" s="394"/>
      <c r="F14" s="394"/>
      <c r="G14" s="394"/>
      <c r="H14" s="394"/>
      <c r="I14" s="394"/>
      <c r="J14" s="342"/>
      <c r="K14" s="917">
        <f t="shared" si="0"/>
        <v>0</v>
      </c>
      <c r="L14" s="919"/>
      <c r="N14" s="920"/>
      <c r="Q14" s="924"/>
    </row>
    <row r="15" spans="1:17">
      <c r="A15" s="718" t="s">
        <v>464</v>
      </c>
      <c r="B15" s="394">
        <v>0</v>
      </c>
      <c r="C15" s="394">
        <v>0</v>
      </c>
      <c r="D15" s="394">
        <v>0</v>
      </c>
      <c r="E15" s="394">
        <f>B15+C15-D15</f>
        <v>0</v>
      </c>
      <c r="F15" s="394">
        <v>0</v>
      </c>
      <c r="G15" s="394">
        <v>0</v>
      </c>
      <c r="H15" s="394">
        <v>0</v>
      </c>
      <c r="I15" s="394">
        <f>+G15+F15-H15</f>
        <v>0</v>
      </c>
      <c r="J15" s="342">
        <f t="shared" si="1"/>
        <v>0</v>
      </c>
      <c r="K15" s="917"/>
      <c r="L15" s="919"/>
      <c r="N15" s="920"/>
      <c r="Q15" s="924"/>
    </row>
    <row r="16" spans="1:17">
      <c r="A16" s="718"/>
      <c r="B16" s="394"/>
      <c r="C16" s="394"/>
      <c r="D16" s="394"/>
      <c r="E16" s="394"/>
      <c r="F16" s="394"/>
      <c r="G16" s="394"/>
      <c r="H16" s="394"/>
      <c r="I16" s="394"/>
      <c r="J16" s="342"/>
      <c r="K16" s="917">
        <f t="shared" si="0"/>
        <v>0</v>
      </c>
      <c r="L16" s="919"/>
      <c r="N16" s="920"/>
      <c r="Q16" s="924"/>
    </row>
    <row r="17" spans="1:17">
      <c r="A17" s="718" t="s">
        <v>465</v>
      </c>
      <c r="B17" s="394">
        <v>0</v>
      </c>
      <c r="C17" s="394">
        <v>0</v>
      </c>
      <c r="D17" s="394">
        <f>SUM(D9:D16)</f>
        <v>0</v>
      </c>
      <c r="E17" s="394">
        <f>B17+C17-D17</f>
        <v>0</v>
      </c>
      <c r="F17" s="394">
        <v>0</v>
      </c>
      <c r="G17" s="394">
        <v>0</v>
      </c>
      <c r="H17" s="394">
        <v>0</v>
      </c>
      <c r="I17" s="394">
        <f>+G17+F17-H17</f>
        <v>0</v>
      </c>
      <c r="J17" s="342">
        <f t="shared" si="1"/>
        <v>0</v>
      </c>
      <c r="K17" s="917"/>
      <c r="L17" s="919"/>
      <c r="N17" s="920"/>
      <c r="Q17" s="924"/>
    </row>
    <row r="18" spans="1:17">
      <c r="A18" s="718"/>
      <c r="B18" s="394"/>
      <c r="C18" s="394"/>
      <c r="D18" s="394"/>
      <c r="E18" s="394"/>
      <c r="F18" s="394"/>
      <c r="G18" s="394"/>
      <c r="H18" s="394"/>
      <c r="I18" s="394"/>
      <c r="J18" s="342"/>
      <c r="K18" s="917">
        <f t="shared" si="0"/>
        <v>0</v>
      </c>
      <c r="L18" s="919"/>
      <c r="N18" s="920"/>
      <c r="Q18" s="924"/>
    </row>
    <row r="19" spans="1:17">
      <c r="A19" s="718" t="s">
        <v>466</v>
      </c>
      <c r="B19" s="394">
        <v>0</v>
      </c>
      <c r="C19" s="394">
        <v>0</v>
      </c>
      <c r="D19" s="394">
        <v>0</v>
      </c>
      <c r="E19" s="394">
        <f>B19+C19-D19</f>
        <v>0</v>
      </c>
      <c r="F19" s="394">
        <v>0</v>
      </c>
      <c r="G19" s="394">
        <v>0</v>
      </c>
      <c r="H19" s="394">
        <v>0</v>
      </c>
      <c r="I19" s="394">
        <f>+G19+F19-H19</f>
        <v>0</v>
      </c>
      <c r="J19" s="342">
        <f t="shared" si="1"/>
        <v>0</v>
      </c>
      <c r="K19" s="917"/>
      <c r="L19" s="919"/>
      <c r="N19" s="920"/>
      <c r="Q19" s="924"/>
    </row>
    <row r="20" spans="1:17">
      <c r="A20" s="718"/>
      <c r="B20" s="394"/>
      <c r="C20" s="394"/>
      <c r="D20" s="394"/>
      <c r="E20" s="394"/>
      <c r="F20" s="394"/>
      <c r="G20" s="394"/>
      <c r="H20" s="394"/>
      <c r="I20" s="394"/>
      <c r="J20" s="342"/>
      <c r="K20" s="917">
        <f t="shared" si="0"/>
        <v>0</v>
      </c>
      <c r="L20" s="919"/>
      <c r="N20" s="920"/>
      <c r="Q20" s="924"/>
    </row>
    <row r="21" spans="1:17">
      <c r="A21" s="718" t="s">
        <v>467</v>
      </c>
      <c r="B21" s="394">
        <v>0</v>
      </c>
      <c r="C21" s="394">
        <v>0</v>
      </c>
      <c r="D21" s="394">
        <v>0</v>
      </c>
      <c r="E21" s="394">
        <f>B21+C21-D21</f>
        <v>0</v>
      </c>
      <c r="F21" s="394">
        <v>0</v>
      </c>
      <c r="G21" s="394">
        <v>0</v>
      </c>
      <c r="H21" s="394">
        <v>0</v>
      </c>
      <c r="I21" s="394">
        <f>+G21+F21-H21</f>
        <v>0</v>
      </c>
      <c r="J21" s="342">
        <f t="shared" si="1"/>
        <v>0</v>
      </c>
      <c r="K21" s="917"/>
      <c r="L21" s="919"/>
      <c r="N21" s="920"/>
      <c r="Q21" s="924"/>
    </row>
    <row r="22" spans="1:17">
      <c r="A22" s="718"/>
      <c r="B22" s="394"/>
      <c r="C22" s="394"/>
      <c r="D22" s="394"/>
      <c r="E22" s="394"/>
      <c r="F22" s="394"/>
      <c r="G22" s="394"/>
      <c r="H22" s="394"/>
      <c r="I22" s="394"/>
      <c r="J22" s="342"/>
      <c r="K22" s="917">
        <f t="shared" si="0"/>
        <v>0</v>
      </c>
      <c r="L22" s="919"/>
      <c r="N22" s="920"/>
      <c r="Q22" s="924"/>
    </row>
    <row r="23" spans="1:17">
      <c r="A23" s="718" t="s">
        <v>468</v>
      </c>
      <c r="B23" s="394">
        <v>0</v>
      </c>
      <c r="C23" s="394">
        <v>0</v>
      </c>
      <c r="D23" s="394">
        <v>0</v>
      </c>
      <c r="E23" s="394">
        <f>B23+C23-D23</f>
        <v>0</v>
      </c>
      <c r="F23" s="394">
        <v>0</v>
      </c>
      <c r="G23" s="394">
        <v>0</v>
      </c>
      <c r="H23" s="394">
        <v>0</v>
      </c>
      <c r="I23" s="394">
        <f>+G23+F23-H23</f>
        <v>0</v>
      </c>
      <c r="J23" s="342">
        <f t="shared" si="1"/>
        <v>0</v>
      </c>
      <c r="K23" s="917"/>
      <c r="L23" s="919"/>
      <c r="N23" s="920"/>
      <c r="Q23" s="924"/>
    </row>
    <row r="24" spans="1:17">
      <c r="A24" s="718"/>
      <c r="B24" s="394"/>
      <c r="C24" s="394"/>
      <c r="D24" s="394"/>
      <c r="E24" s="394"/>
      <c r="F24" s="394"/>
      <c r="G24" s="394"/>
      <c r="H24" s="394"/>
      <c r="I24" s="394"/>
      <c r="J24" s="342"/>
      <c r="K24" s="917">
        <f t="shared" si="0"/>
        <v>0</v>
      </c>
      <c r="L24" s="919"/>
      <c r="N24" s="920"/>
      <c r="Q24" s="924"/>
    </row>
    <row r="25" spans="1:17">
      <c r="A25" s="718" t="s">
        <v>469</v>
      </c>
      <c r="B25" s="394">
        <v>0</v>
      </c>
      <c r="C25" s="394">
        <v>0</v>
      </c>
      <c r="D25" s="394">
        <v>0</v>
      </c>
      <c r="E25" s="394">
        <f>B25+C25-D25</f>
        <v>0</v>
      </c>
      <c r="F25" s="394">
        <v>0</v>
      </c>
      <c r="G25" s="394">
        <v>0</v>
      </c>
      <c r="H25" s="394">
        <v>0</v>
      </c>
      <c r="I25" s="394">
        <f>+G25+F25-H25</f>
        <v>0</v>
      </c>
      <c r="J25" s="342">
        <f t="shared" si="1"/>
        <v>0</v>
      </c>
      <c r="K25" s="917"/>
      <c r="L25" s="919"/>
      <c r="N25" s="920"/>
      <c r="Q25" s="924"/>
    </row>
    <row r="26" spans="1:17">
      <c r="A26" s="718"/>
      <c r="B26" s="394"/>
      <c r="C26" s="394"/>
      <c r="D26" s="394"/>
      <c r="E26" s="394"/>
      <c r="F26" s="394"/>
      <c r="G26" s="394"/>
      <c r="H26" s="394"/>
      <c r="I26" s="394"/>
      <c r="J26" s="342"/>
      <c r="K26" s="917">
        <f t="shared" si="0"/>
        <v>0</v>
      </c>
      <c r="L26" s="919"/>
      <c r="N26" s="920"/>
      <c r="Q26" s="924"/>
    </row>
    <row r="27" spans="1:17">
      <c r="A27" s="718" t="s">
        <v>470</v>
      </c>
      <c r="B27" s="394">
        <v>0</v>
      </c>
      <c r="C27" s="394">
        <v>0</v>
      </c>
      <c r="D27" s="394">
        <v>0</v>
      </c>
      <c r="E27" s="394">
        <f>B27+C27-D27</f>
        <v>0</v>
      </c>
      <c r="F27" s="394">
        <v>0</v>
      </c>
      <c r="G27" s="394">
        <v>0</v>
      </c>
      <c r="H27" s="394">
        <v>0</v>
      </c>
      <c r="I27" s="394">
        <f>+G27+F27-H27</f>
        <v>0</v>
      </c>
      <c r="J27" s="342">
        <f t="shared" si="1"/>
        <v>0</v>
      </c>
      <c r="K27" s="917"/>
      <c r="L27" s="919"/>
      <c r="N27" s="920"/>
      <c r="Q27" s="924"/>
    </row>
    <row r="28" spans="1:17">
      <c r="A28" s="718"/>
      <c r="B28" s="394"/>
      <c r="C28" s="394"/>
      <c r="D28" s="394"/>
      <c r="E28" s="394"/>
      <c r="F28" s="394"/>
      <c r="G28" s="394"/>
      <c r="H28" s="394"/>
      <c r="I28" s="394"/>
      <c r="J28" s="342"/>
      <c r="K28" s="917">
        <f t="shared" si="0"/>
        <v>0</v>
      </c>
      <c r="L28" s="919"/>
      <c r="N28" s="920"/>
      <c r="Q28" s="924"/>
    </row>
    <row r="29" spans="1:17">
      <c r="A29" s="718" t="s">
        <v>471</v>
      </c>
      <c r="B29" s="394">
        <v>0</v>
      </c>
      <c r="C29" s="394">
        <v>0</v>
      </c>
      <c r="D29" s="394">
        <v>0</v>
      </c>
      <c r="E29" s="394">
        <f>B29+C29-D29</f>
        <v>0</v>
      </c>
      <c r="F29" s="394">
        <v>0</v>
      </c>
      <c r="G29" s="394">
        <v>0</v>
      </c>
      <c r="H29" s="394">
        <v>0</v>
      </c>
      <c r="I29" s="394">
        <f>+G29+F29-H29</f>
        <v>0</v>
      </c>
      <c r="J29" s="342">
        <f t="shared" si="1"/>
        <v>0</v>
      </c>
      <c r="K29" s="917"/>
      <c r="L29" s="919"/>
      <c r="N29" s="920"/>
      <c r="Q29" s="924"/>
    </row>
    <row r="30" spans="1:17">
      <c r="A30" s="718"/>
      <c r="B30" s="394"/>
      <c r="C30" s="394"/>
      <c r="D30" s="394"/>
      <c r="E30" s="394"/>
      <c r="F30" s="394"/>
      <c r="G30" s="394"/>
      <c r="H30" s="394"/>
      <c r="I30" s="394"/>
      <c r="J30" s="342"/>
      <c r="K30" s="917">
        <f t="shared" si="0"/>
        <v>0</v>
      </c>
      <c r="L30" s="919"/>
      <c r="N30" s="920"/>
      <c r="Q30" s="924"/>
    </row>
    <row r="31" spans="1:17">
      <c r="A31" s="718" t="s">
        <v>472</v>
      </c>
      <c r="B31" s="394">
        <v>0</v>
      </c>
      <c r="C31" s="394">
        <v>0</v>
      </c>
      <c r="D31" s="394">
        <v>0</v>
      </c>
      <c r="E31" s="394">
        <f>B31+C31-D31</f>
        <v>0</v>
      </c>
      <c r="F31" s="394">
        <v>0</v>
      </c>
      <c r="G31" s="394">
        <v>0</v>
      </c>
      <c r="H31" s="394">
        <v>0</v>
      </c>
      <c r="I31" s="394">
        <f>+G31+F31-H31</f>
        <v>0</v>
      </c>
      <c r="J31" s="342">
        <f t="shared" si="1"/>
        <v>0</v>
      </c>
      <c r="K31" s="917"/>
      <c r="L31" s="919"/>
      <c r="N31" s="920"/>
      <c r="Q31" s="924"/>
    </row>
    <row r="32" spans="1:17">
      <c r="A32" s="718"/>
      <c r="B32" s="394"/>
      <c r="C32" s="394"/>
      <c r="D32" s="394"/>
      <c r="E32" s="394"/>
      <c r="F32" s="394"/>
      <c r="G32" s="394"/>
      <c r="H32" s="394"/>
      <c r="I32" s="394"/>
      <c r="J32" s="342"/>
      <c r="K32" s="917">
        <f t="shared" si="0"/>
        <v>0</v>
      </c>
      <c r="L32" s="919"/>
      <c r="N32" s="920"/>
      <c r="Q32" s="924"/>
    </row>
    <row r="33" spans="1:17">
      <c r="A33" s="718" t="s">
        <v>473</v>
      </c>
      <c r="B33" s="394">
        <v>0</v>
      </c>
      <c r="C33" s="394">
        <v>0</v>
      </c>
      <c r="D33" s="394">
        <v>0</v>
      </c>
      <c r="E33" s="394">
        <f>B33+C33-D33</f>
        <v>0</v>
      </c>
      <c r="F33" s="394">
        <v>0</v>
      </c>
      <c r="G33" s="394">
        <v>0</v>
      </c>
      <c r="H33" s="394">
        <v>0</v>
      </c>
      <c r="I33" s="394">
        <f>+G33+F33-H33</f>
        <v>0</v>
      </c>
      <c r="J33" s="342">
        <f t="shared" si="1"/>
        <v>0</v>
      </c>
      <c r="K33" s="917"/>
      <c r="L33" s="919"/>
      <c r="N33" s="920"/>
      <c r="Q33" s="924"/>
    </row>
    <row r="34" spans="1:17">
      <c r="A34" s="718"/>
      <c r="B34" s="394"/>
      <c r="C34" s="394"/>
      <c r="D34" s="394"/>
      <c r="E34" s="394"/>
      <c r="F34" s="394"/>
      <c r="G34" s="394"/>
      <c r="H34" s="394"/>
      <c r="I34" s="394"/>
      <c r="J34" s="342"/>
      <c r="K34" s="917">
        <f t="shared" si="0"/>
        <v>0</v>
      </c>
      <c r="L34" s="919"/>
      <c r="N34" s="920"/>
      <c r="Q34" s="924"/>
    </row>
    <row r="35" spans="1:17" ht="30">
      <c r="A35" s="910" t="s">
        <v>474</v>
      </c>
      <c r="B35" s="394">
        <v>0</v>
      </c>
      <c r="C35" s="394">
        <v>0</v>
      </c>
      <c r="D35" s="394">
        <v>0</v>
      </c>
      <c r="E35" s="394">
        <f>B35+C35-D35</f>
        <v>0</v>
      </c>
      <c r="F35" s="394">
        <v>0</v>
      </c>
      <c r="G35" s="394">
        <v>0</v>
      </c>
      <c r="H35" s="394">
        <v>0</v>
      </c>
      <c r="I35" s="394">
        <f>+G35+F35-H35</f>
        <v>0</v>
      </c>
      <c r="J35" s="342">
        <f t="shared" si="1"/>
        <v>0</v>
      </c>
      <c r="K35" s="917"/>
      <c r="L35" s="919"/>
      <c r="N35" s="920"/>
      <c r="Q35" s="924"/>
    </row>
    <row r="36" spans="1:17">
      <c r="A36" s="718"/>
      <c r="B36" s="394"/>
      <c r="C36" s="394"/>
      <c r="D36" s="394"/>
      <c r="E36" s="394"/>
      <c r="F36" s="394"/>
      <c r="G36" s="394"/>
      <c r="H36" s="394"/>
      <c r="I36" s="394"/>
      <c r="J36" s="342"/>
      <c r="K36" s="917">
        <f t="shared" si="0"/>
        <v>0</v>
      </c>
      <c r="L36" s="919"/>
      <c r="N36" s="920"/>
      <c r="Q36" s="924"/>
    </row>
    <row r="37" spans="1:17">
      <c r="A37" s="718" t="s">
        <v>475</v>
      </c>
      <c r="B37" s="394">
        <v>0</v>
      </c>
      <c r="C37" s="394">
        <v>0</v>
      </c>
      <c r="D37" s="394">
        <v>0</v>
      </c>
      <c r="E37" s="394">
        <f>B37+C37-D37</f>
        <v>0</v>
      </c>
      <c r="F37" s="394">
        <v>0</v>
      </c>
      <c r="G37" s="394">
        <v>0</v>
      </c>
      <c r="H37" s="394">
        <v>0</v>
      </c>
      <c r="I37" s="394">
        <f>+G37+F37-H37</f>
        <v>0</v>
      </c>
      <c r="J37" s="342">
        <f t="shared" si="1"/>
        <v>0</v>
      </c>
      <c r="K37" s="917"/>
      <c r="L37" s="919"/>
      <c r="N37" s="920"/>
      <c r="Q37" s="924"/>
    </row>
    <row r="38" spans="1:17">
      <c r="A38" s="718"/>
      <c r="B38" s="394"/>
      <c r="C38" s="394"/>
      <c r="D38" s="394"/>
      <c r="E38" s="394"/>
      <c r="F38" s="394"/>
      <c r="G38" s="394"/>
      <c r="H38" s="394"/>
      <c r="I38" s="394"/>
      <c r="J38" s="342"/>
      <c r="K38" s="917">
        <f t="shared" si="0"/>
        <v>0</v>
      </c>
      <c r="L38" s="919"/>
      <c r="N38" s="920"/>
      <c r="Q38" s="924"/>
    </row>
    <row r="39" spans="1:17">
      <c r="A39" s="718" t="s">
        <v>476</v>
      </c>
      <c r="B39" s="394">
        <v>0</v>
      </c>
      <c r="C39" s="394">
        <v>0</v>
      </c>
      <c r="D39" s="394">
        <v>0</v>
      </c>
      <c r="E39" s="394">
        <f>B39+C39-D39</f>
        <v>0</v>
      </c>
      <c r="F39" s="394">
        <v>0</v>
      </c>
      <c r="G39" s="394">
        <v>0</v>
      </c>
      <c r="H39" s="394">
        <v>0</v>
      </c>
      <c r="I39" s="394">
        <f>+G39+F39-H39</f>
        <v>0</v>
      </c>
      <c r="J39" s="342">
        <f t="shared" si="1"/>
        <v>0</v>
      </c>
      <c r="K39" s="917"/>
      <c r="L39" s="919"/>
      <c r="N39" s="920"/>
      <c r="Q39" s="924"/>
    </row>
    <row r="40" spans="1:17">
      <c r="A40" s="718"/>
      <c r="B40" s="394"/>
      <c r="C40" s="394"/>
      <c r="D40" s="394"/>
      <c r="E40" s="394"/>
      <c r="F40" s="394"/>
      <c r="G40" s="394"/>
      <c r="H40" s="394"/>
      <c r="I40" s="394"/>
      <c r="J40" s="342"/>
      <c r="K40" s="917">
        <f t="shared" si="0"/>
        <v>0</v>
      </c>
      <c r="L40" s="919"/>
      <c r="N40" s="920"/>
      <c r="Q40" s="924"/>
    </row>
    <row r="41" spans="1:17">
      <c r="A41" s="718" t="s">
        <v>477</v>
      </c>
      <c r="B41" s="394">
        <v>0</v>
      </c>
      <c r="C41" s="394">
        <v>0</v>
      </c>
      <c r="D41" s="394">
        <v>0</v>
      </c>
      <c r="E41" s="394">
        <f>B41+C41-D41</f>
        <v>0</v>
      </c>
      <c r="F41" s="276"/>
      <c r="G41" s="276"/>
      <c r="H41" s="276"/>
      <c r="I41" s="394"/>
      <c r="J41" s="342">
        <f t="shared" si="1"/>
        <v>0</v>
      </c>
      <c r="K41" s="917"/>
      <c r="L41" s="919"/>
      <c r="N41" s="920"/>
      <c r="Q41" s="924"/>
    </row>
    <row r="42" spans="1:17">
      <c r="A42" s="718"/>
      <c r="B42" s="394"/>
      <c r="C42" s="394"/>
      <c r="D42" s="394"/>
      <c r="E42" s="394"/>
      <c r="F42" s="276"/>
      <c r="G42" s="276"/>
      <c r="H42" s="276"/>
      <c r="I42" s="394"/>
      <c r="J42" s="342"/>
      <c r="K42" s="917"/>
      <c r="L42" s="919"/>
      <c r="N42" s="920"/>
      <c r="Q42" s="924"/>
    </row>
    <row r="43" spans="1:17">
      <c r="A43" s="718" t="s">
        <v>478</v>
      </c>
      <c r="B43" s="394">
        <v>0</v>
      </c>
      <c r="C43" s="394">
        <v>0</v>
      </c>
      <c r="D43" s="394">
        <v>0</v>
      </c>
      <c r="E43" s="394">
        <f>B43+C43-D43</f>
        <v>0</v>
      </c>
      <c r="F43" s="394">
        <v>0</v>
      </c>
      <c r="G43" s="394">
        <v>0</v>
      </c>
      <c r="H43" s="394">
        <v>0</v>
      </c>
      <c r="I43" s="394">
        <f>+G43+F43-H43</f>
        <v>0</v>
      </c>
      <c r="J43" s="342">
        <f t="shared" si="1"/>
        <v>0</v>
      </c>
      <c r="K43" s="917">
        <f>+F43-J43</f>
        <v>0</v>
      </c>
      <c r="L43" s="919"/>
      <c r="N43" s="920"/>
      <c r="Q43" s="924"/>
    </row>
    <row r="44" spans="1:17">
      <c r="A44" s="718"/>
      <c r="B44" s="394"/>
      <c r="C44" s="394"/>
      <c r="D44" s="394"/>
      <c r="E44" s="394"/>
      <c r="F44" s="394"/>
      <c r="G44" s="394"/>
      <c r="H44" s="394"/>
      <c r="I44" s="394"/>
      <c r="J44" s="342"/>
      <c r="K44" s="917"/>
      <c r="L44" s="919"/>
      <c r="N44" s="920"/>
      <c r="Q44" s="924"/>
    </row>
    <row r="45" spans="1:17">
      <c r="A45" s="718"/>
      <c r="B45" s="394"/>
      <c r="C45" s="394"/>
      <c r="D45" s="394"/>
      <c r="E45" s="394"/>
      <c r="F45" s="394"/>
      <c r="G45" s="394"/>
      <c r="H45" s="394"/>
      <c r="I45" s="394"/>
      <c r="J45" s="342"/>
      <c r="K45" s="917"/>
      <c r="L45" s="919"/>
      <c r="N45" s="920"/>
      <c r="Q45" s="924"/>
    </row>
    <row r="46" spans="1:17">
      <c r="A46" s="718" t="s">
        <v>479</v>
      </c>
      <c r="B46" s="342">
        <f>SUM(B10:B45)</f>
        <v>0</v>
      </c>
      <c r="C46" s="342">
        <f>SUM(C10:C45)</f>
        <v>0</v>
      </c>
      <c r="D46" s="342">
        <f>SUM(D10:D45)</f>
        <v>0</v>
      </c>
      <c r="E46" s="342">
        <f>SUM(E10:E45)</f>
        <v>0</v>
      </c>
      <c r="F46" s="342">
        <f>SUM(F11:F45)</f>
        <v>0</v>
      </c>
      <c r="G46" s="342">
        <f>SUM(G11:G45)</f>
        <v>0</v>
      </c>
      <c r="H46" s="342">
        <f>SUM(H11:H45)</f>
        <v>0</v>
      </c>
      <c r="I46" s="342">
        <f>+F46+G46-H46</f>
        <v>0</v>
      </c>
      <c r="J46" s="342">
        <f>+E46-I46</f>
        <v>0</v>
      </c>
      <c r="K46" s="917">
        <f t="shared" ref="K46:K48" si="2">+F46-J46</f>
        <v>0</v>
      </c>
      <c r="L46" s="921"/>
      <c r="N46" s="920"/>
      <c r="Q46" s="924"/>
    </row>
    <row r="47" spans="1:17" s="903" customFormat="1">
      <c r="A47" s="718" t="s">
        <v>480</v>
      </c>
      <c r="B47" s="394">
        <v>0</v>
      </c>
      <c r="C47" s="394">
        <v>0</v>
      </c>
      <c r="D47" s="394">
        <v>0</v>
      </c>
      <c r="E47" s="394">
        <f>B47+C47-D47</f>
        <v>0</v>
      </c>
      <c r="F47" s="394"/>
      <c r="G47" s="394"/>
      <c r="H47" s="394"/>
      <c r="I47" s="342"/>
      <c r="J47" s="342">
        <f>+E47-I47</f>
        <v>0</v>
      </c>
      <c r="K47" s="917">
        <f t="shared" si="2"/>
        <v>0</v>
      </c>
      <c r="L47" s="921"/>
      <c r="N47" s="922"/>
    </row>
    <row r="48" spans="1:17">
      <c r="A48" s="718" t="s">
        <v>12</v>
      </c>
      <c r="B48" s="342">
        <f t="shared" ref="B48:H48" si="3">+B46+B47</f>
        <v>0</v>
      </c>
      <c r="C48" s="342">
        <f t="shared" si="3"/>
        <v>0</v>
      </c>
      <c r="D48" s="342">
        <f t="shared" si="3"/>
        <v>0</v>
      </c>
      <c r="E48" s="342">
        <f t="shared" si="3"/>
        <v>0</v>
      </c>
      <c r="F48" s="342">
        <f t="shared" si="3"/>
        <v>0</v>
      </c>
      <c r="G48" s="342">
        <f t="shared" si="3"/>
        <v>0</v>
      </c>
      <c r="H48" s="342">
        <f t="shared" si="3"/>
        <v>0</v>
      </c>
      <c r="I48" s="342">
        <f>+F48+G48-H48</f>
        <v>0</v>
      </c>
      <c r="J48" s="342">
        <f>+E48-I48</f>
        <v>0</v>
      </c>
      <c r="K48" s="917">
        <f t="shared" si="2"/>
        <v>0</v>
      </c>
      <c r="L48" s="923"/>
      <c r="M48" s="924"/>
      <c r="N48" s="920"/>
      <c r="O48" s="924"/>
      <c r="P48" s="924"/>
      <c r="Q48" s="924"/>
    </row>
    <row r="49" spans="1:17">
      <c r="A49" s="1246"/>
      <c r="B49" s="1244"/>
      <c r="C49" s="1244"/>
      <c r="D49" s="1244"/>
      <c r="E49" s="1244"/>
      <c r="F49" s="1244"/>
      <c r="G49" s="1244"/>
      <c r="H49" s="1244"/>
      <c r="I49" s="1244"/>
      <c r="J49" s="1244"/>
      <c r="K49" s="1247"/>
      <c r="L49" s="1248"/>
      <c r="M49" s="924"/>
      <c r="N49" s="920"/>
      <c r="O49" s="924"/>
      <c r="P49" s="924"/>
      <c r="Q49" s="924"/>
    </row>
    <row r="50" spans="1:17">
      <c r="A50" s="603"/>
      <c r="B50" s="768"/>
      <c r="C50" s="768"/>
      <c r="D50" s="768"/>
      <c r="E50" s="768"/>
      <c r="F50" s="777"/>
      <c r="G50" s="768"/>
      <c r="H50" s="768"/>
      <c r="I50" s="768"/>
      <c r="J50" s="777"/>
      <c r="K50" s="768"/>
    </row>
    <row r="51" spans="1:17" ht="14.25">
      <c r="A51" s="1374" t="s">
        <v>20</v>
      </c>
      <c r="B51" s="1374"/>
      <c r="C51" s="1374"/>
      <c r="D51" s="1374"/>
      <c r="E51" s="1374"/>
      <c r="F51" s="1374"/>
      <c r="G51" s="1374"/>
      <c r="H51" s="1374"/>
      <c r="I51" s="1374"/>
      <c r="J51" s="1374"/>
      <c r="K51" s="1374"/>
    </row>
    <row r="52" spans="1:17">
      <c r="A52" s="603"/>
      <c r="B52" s="768"/>
      <c r="C52" s="768"/>
      <c r="D52" s="768"/>
      <c r="E52" s="777"/>
      <c r="F52" s="768"/>
      <c r="G52" s="777"/>
      <c r="H52" s="768"/>
      <c r="I52" s="777"/>
      <c r="J52" s="768"/>
      <c r="K52" s="768"/>
    </row>
    <row r="53" spans="1:17">
      <c r="A53" s="603"/>
      <c r="B53" s="777"/>
      <c r="C53" s="768"/>
      <c r="D53" s="768"/>
      <c r="E53" s="777"/>
      <c r="F53" s="768"/>
      <c r="G53" s="768"/>
      <c r="H53" s="768"/>
      <c r="I53" s="777"/>
      <c r="J53" s="768"/>
      <c r="K53" s="768"/>
    </row>
    <row r="54" spans="1:17">
      <c r="A54" s="603"/>
      <c r="B54" s="777"/>
      <c r="C54" s="777"/>
      <c r="D54" s="768"/>
      <c r="E54" s="768"/>
      <c r="F54" s="777"/>
      <c r="G54" s="768"/>
      <c r="H54" s="768"/>
      <c r="I54" s="777"/>
      <c r="J54" s="777"/>
      <c r="K54" s="768"/>
    </row>
    <row r="55" spans="1:17">
      <c r="A55" s="603"/>
      <c r="B55" s="777"/>
      <c r="C55" s="777"/>
      <c r="D55" s="768"/>
      <c r="E55" s="768"/>
      <c r="F55" s="768"/>
      <c r="G55" s="777"/>
      <c r="H55" s="768"/>
      <c r="I55" s="768"/>
      <c r="J55" s="777"/>
      <c r="K55" s="768"/>
    </row>
    <row r="56" spans="1:17">
      <c r="A56" s="603"/>
      <c r="B56" s="777"/>
      <c r="C56" s="777"/>
      <c r="D56" s="768"/>
      <c r="E56" s="768"/>
      <c r="F56" s="768"/>
      <c r="G56" s="768"/>
      <c r="H56" s="768"/>
      <c r="I56" s="768"/>
      <c r="J56" s="768"/>
      <c r="K56" s="768"/>
    </row>
    <row r="57" spans="1:17">
      <c r="A57" s="603"/>
      <c r="B57" s="768"/>
      <c r="C57" s="911"/>
      <c r="D57" s="768"/>
      <c r="E57" s="768"/>
      <c r="F57" s="768"/>
      <c r="G57" s="768"/>
      <c r="H57" s="768"/>
      <c r="I57" s="768"/>
      <c r="J57" s="768"/>
      <c r="K57" s="768"/>
    </row>
    <row r="58" spans="1:17">
      <c r="B58" s="912"/>
      <c r="C58" s="912"/>
    </row>
    <row r="59" spans="1:17">
      <c r="B59" s="912"/>
    </row>
    <row r="61" spans="1:17">
      <c r="B61" s="912"/>
    </row>
  </sheetData>
  <customSheetViews>
    <customSheetView guid="{B1076A3F-74CA-4685-9B64-0249438E4A9A}" showPageBreaks="1" printArea="1" view="pageBreakPreview">
      <pane xSplit="1" ySplit="7" topLeftCell="B47" state="frozen"/>
      <selection activeCell="K50" sqref="K50"/>
      <pageMargins left="0" right="0" top="0" bottom="0" header="0.511811023622047" footer="0.55118110236220497"/>
      <printOptions horizontalCentered="1" verticalCentered="1"/>
      <pageSetup paperSize="9" scale="70" orientation="landscape"/>
      <headerFooter alignWithMargins="0">
        <oddFooter>&amp;C11</oddFooter>
      </headerFooter>
    </customSheetView>
    <customSheetView guid="{789595AE-36A2-4B02-81C2-3D94932E7381}" showPageBreaks="1" printArea="1" view="pageBreakPreview">
      <pane xSplit="1" ySplit="7" topLeftCell="B47" state="frozen"/>
      <selection activeCell="K50" sqref="K50"/>
      <pageMargins left="0" right="0" top="0" bottom="0" header="0.511811023622047" footer="0.55118110236220497"/>
      <printOptions horizontalCentered="1" verticalCentered="1"/>
      <pageSetup paperSize="9" scale="70" orientation="landscape"/>
      <headerFooter alignWithMargins="0">
        <oddFooter>&amp;C11</oddFooter>
      </headerFooter>
    </customSheetView>
  </customSheetViews>
  <mergeCells count="18">
    <mergeCell ref="A1:K1"/>
    <mergeCell ref="A2:K2"/>
    <mergeCell ref="I3:J3"/>
    <mergeCell ref="B4:E4"/>
    <mergeCell ref="F4:I4"/>
    <mergeCell ref="L4:L6"/>
    <mergeCell ref="A51:K51"/>
    <mergeCell ref="A5:A6"/>
    <mergeCell ref="B5:B6"/>
    <mergeCell ref="C5:C6"/>
    <mergeCell ref="D5:D6"/>
    <mergeCell ref="E5:E6"/>
    <mergeCell ref="F5:F6"/>
    <mergeCell ref="G5:G6"/>
    <mergeCell ref="H5:H6"/>
    <mergeCell ref="I5:I6"/>
    <mergeCell ref="J5:J6"/>
    <mergeCell ref="K5:K6"/>
  </mergeCells>
  <printOptions horizontalCentered="1" verticalCentered="1"/>
  <pageMargins left="0" right="0" top="0" bottom="0" header="0.35433070866141703" footer="0.31496062992126"/>
  <pageSetup paperSize="9"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63"/>
  <sheetViews>
    <sheetView view="pageBreakPreview" zoomScale="85" zoomScaleNormal="98" workbookViewId="0">
      <pane xSplit="1" ySplit="7" topLeftCell="B35" activePane="bottomRight" state="frozen"/>
      <selection pane="topRight"/>
      <selection pane="bottomLeft"/>
      <selection pane="bottomRight" sqref="A1:K1"/>
    </sheetView>
  </sheetViews>
  <sheetFormatPr defaultColWidth="23.28515625" defaultRowHeight="12.75"/>
  <cols>
    <col min="1" max="1" width="43.42578125" style="380" customWidth="1"/>
    <col min="2" max="2" width="14" style="402" customWidth="1"/>
    <col min="3" max="3" width="12.5703125" style="402" customWidth="1"/>
    <col min="4" max="4" width="15.28515625" style="402" customWidth="1"/>
    <col min="5" max="5" width="11" style="402" customWidth="1"/>
    <col min="6" max="6" width="13.42578125" style="402" customWidth="1"/>
    <col min="7" max="7" width="16.140625" style="402" customWidth="1"/>
    <col min="8" max="8" width="18" style="402" customWidth="1"/>
    <col min="9" max="9" width="14" style="402" customWidth="1"/>
    <col min="10" max="10" width="12.5703125" style="402" customWidth="1"/>
    <col min="11" max="12" width="12.42578125" style="402" customWidth="1"/>
    <col min="13" max="13" width="23.28515625" style="402" customWidth="1"/>
    <col min="14" max="14" width="16.28515625" style="402" customWidth="1"/>
    <col min="15" max="16384" width="23.28515625" style="402"/>
  </cols>
  <sheetData>
    <row r="1" spans="1:16" ht="15.75">
      <c r="A1" s="1322" t="s">
        <v>1910</v>
      </c>
      <c r="B1" s="1322"/>
      <c r="C1" s="1322"/>
      <c r="D1" s="1322"/>
      <c r="E1" s="1322"/>
      <c r="F1" s="1322"/>
      <c r="G1" s="1322"/>
      <c r="H1" s="1322"/>
      <c r="I1" s="1322"/>
      <c r="J1" s="1322"/>
      <c r="K1" s="1322"/>
    </row>
    <row r="2" spans="1:16" ht="15.75">
      <c r="A2" s="1322" t="s">
        <v>43</v>
      </c>
      <c r="B2" s="1322"/>
      <c r="C2" s="1322"/>
      <c r="D2" s="1322"/>
      <c r="E2" s="1322"/>
      <c r="F2" s="1322"/>
      <c r="G2" s="1322"/>
      <c r="H2" s="1322"/>
      <c r="I2" s="1322"/>
      <c r="J2" s="1322"/>
      <c r="K2" s="1322"/>
    </row>
    <row r="3" spans="1:16" ht="12" customHeight="1">
      <c r="A3" s="383"/>
      <c r="B3" s="356"/>
      <c r="C3" s="356"/>
      <c r="D3" s="356"/>
      <c r="E3" s="356"/>
      <c r="F3" s="356"/>
      <c r="G3" s="356"/>
      <c r="H3" s="356"/>
      <c r="I3" s="1406" t="s">
        <v>68</v>
      </c>
      <c r="J3" s="1406"/>
      <c r="K3" s="892"/>
    </row>
    <row r="4" spans="1:16" s="379" customFormat="1" ht="15.75">
      <c r="A4" s="588" t="s">
        <v>500</v>
      </c>
      <c r="B4" s="1431" t="s">
        <v>483</v>
      </c>
      <c r="C4" s="1432"/>
      <c r="D4" s="1432"/>
      <c r="E4" s="1433"/>
      <c r="F4" s="1431" t="s">
        <v>39</v>
      </c>
      <c r="G4" s="1432"/>
      <c r="H4" s="1432"/>
      <c r="I4" s="1433"/>
      <c r="J4" s="893" t="s">
        <v>447</v>
      </c>
      <c r="K4" s="894"/>
      <c r="L4" s="1397"/>
    </row>
    <row r="5" spans="1:16" s="887" customFormat="1" ht="12.75" customHeight="1">
      <c r="A5" s="1426" t="s">
        <v>448</v>
      </c>
      <c r="B5" s="1427" t="s">
        <v>449</v>
      </c>
      <c r="C5" s="1427" t="s">
        <v>450</v>
      </c>
      <c r="D5" s="1427" t="s">
        <v>451</v>
      </c>
      <c r="E5" s="1427" t="s">
        <v>501</v>
      </c>
      <c r="F5" s="1427" t="s">
        <v>453</v>
      </c>
      <c r="G5" s="1427" t="s">
        <v>454</v>
      </c>
      <c r="H5" s="1428" t="s">
        <v>455</v>
      </c>
      <c r="I5" s="1370" t="s">
        <v>485</v>
      </c>
      <c r="J5" s="1427" t="s">
        <v>502</v>
      </c>
      <c r="K5" s="1430" t="s">
        <v>458</v>
      </c>
      <c r="L5" s="1398"/>
    </row>
    <row r="6" spans="1:16" s="887" customFormat="1" ht="84.75" customHeight="1">
      <c r="A6" s="1358"/>
      <c r="B6" s="1427"/>
      <c r="C6" s="1427"/>
      <c r="D6" s="1427"/>
      <c r="E6" s="1427"/>
      <c r="F6" s="1427"/>
      <c r="G6" s="1427"/>
      <c r="H6" s="1429"/>
      <c r="I6" s="1370"/>
      <c r="J6" s="1427"/>
      <c r="K6" s="1430"/>
      <c r="L6" s="1398"/>
    </row>
    <row r="7" spans="1:16" s="379" customFormat="1">
      <c r="A7" s="888"/>
      <c r="B7" s="889">
        <v>1</v>
      </c>
      <c r="C7" s="889">
        <v>2</v>
      </c>
      <c r="D7" s="889">
        <v>3</v>
      </c>
      <c r="E7" s="890">
        <v>4</v>
      </c>
      <c r="F7" s="890">
        <v>5</v>
      </c>
      <c r="G7" s="889">
        <v>6</v>
      </c>
      <c r="H7" s="889">
        <v>7</v>
      </c>
      <c r="I7" s="889">
        <v>8</v>
      </c>
      <c r="J7" s="889">
        <v>9</v>
      </c>
      <c r="K7" s="896">
        <v>10</v>
      </c>
      <c r="L7" s="895"/>
    </row>
    <row r="8" spans="1:16" ht="15">
      <c r="A8" s="393" t="s">
        <v>459</v>
      </c>
      <c r="B8" s="394"/>
      <c r="C8" s="394"/>
      <c r="D8" s="394"/>
      <c r="E8" s="394"/>
      <c r="F8" s="394"/>
      <c r="G8" s="394"/>
      <c r="H8" s="394"/>
      <c r="I8" s="394"/>
      <c r="J8" s="394"/>
      <c r="K8" s="395"/>
      <c r="L8" s="897"/>
    </row>
    <row r="9" spans="1:16" ht="15">
      <c r="A9" s="393" t="s">
        <v>460</v>
      </c>
      <c r="B9" s="394"/>
      <c r="C9" s="394"/>
      <c r="D9" s="394"/>
      <c r="E9" s="394"/>
      <c r="F9" s="394"/>
      <c r="G9" s="394"/>
      <c r="H9" s="394"/>
      <c r="I9" s="394"/>
      <c r="J9" s="394"/>
      <c r="K9" s="395"/>
      <c r="L9" s="898"/>
    </row>
    <row r="10" spans="1:16" ht="15">
      <c r="A10" s="393" t="s">
        <v>461</v>
      </c>
      <c r="B10" s="394">
        <v>0</v>
      </c>
      <c r="C10" s="394">
        <v>0</v>
      </c>
      <c r="D10" s="394">
        <v>0</v>
      </c>
      <c r="E10" s="394">
        <f>B10+C10-D10</f>
        <v>0</v>
      </c>
      <c r="F10" s="394">
        <v>0</v>
      </c>
      <c r="G10" s="394">
        <v>0</v>
      </c>
      <c r="H10" s="394">
        <f t="shared" ref="H10:I10" si="0">E10+F10-G10</f>
        <v>0</v>
      </c>
      <c r="I10" s="394">
        <f t="shared" si="0"/>
        <v>0</v>
      </c>
      <c r="J10" s="429">
        <f>E10-I10</f>
        <v>0</v>
      </c>
      <c r="K10" s="395">
        <f>F10-J10</f>
        <v>0</v>
      </c>
      <c r="L10" s="898"/>
    </row>
    <row r="11" spans="1:16" ht="15">
      <c r="A11" s="393" t="s">
        <v>462</v>
      </c>
      <c r="B11" s="394">
        <v>0</v>
      </c>
      <c r="C11" s="394">
        <v>0</v>
      </c>
      <c r="D11" s="394">
        <v>0</v>
      </c>
      <c r="E11" s="394">
        <f>B11+C11-D11</f>
        <v>0</v>
      </c>
      <c r="F11" s="394">
        <v>0</v>
      </c>
      <c r="G11" s="394">
        <v>0</v>
      </c>
      <c r="H11" s="394">
        <v>0</v>
      </c>
      <c r="I11" s="394">
        <f t="shared" ref="I11:I12" si="1">F11+G11-H11</f>
        <v>0</v>
      </c>
      <c r="J11" s="429">
        <f t="shared" ref="J11:J43" si="2">E11-I11</f>
        <v>0</v>
      </c>
      <c r="K11" s="395">
        <f t="shared" ref="K11:K12" si="3">F11-J11</f>
        <v>0</v>
      </c>
      <c r="L11" s="898"/>
    </row>
    <row r="12" spans="1:16" ht="9.75" customHeight="1">
      <c r="A12" s="393"/>
      <c r="B12" s="394"/>
      <c r="C12" s="394"/>
      <c r="D12" s="394"/>
      <c r="E12" s="394"/>
      <c r="F12" s="394"/>
      <c r="G12" s="394"/>
      <c r="H12" s="394"/>
      <c r="I12" s="394">
        <f t="shared" si="1"/>
        <v>0</v>
      </c>
      <c r="J12" s="429"/>
      <c r="K12" s="395">
        <f t="shared" si="3"/>
        <v>0</v>
      </c>
      <c r="L12" s="898"/>
    </row>
    <row r="13" spans="1:16" ht="15">
      <c r="A13" s="393" t="s">
        <v>463</v>
      </c>
      <c r="B13" s="394">
        <v>0</v>
      </c>
      <c r="C13" s="394">
        <v>0</v>
      </c>
      <c r="D13" s="394">
        <v>0</v>
      </c>
      <c r="E13" s="394">
        <f>B13+C13-D13</f>
        <v>0</v>
      </c>
      <c r="F13" s="394">
        <v>0</v>
      </c>
      <c r="G13" s="394">
        <v>0</v>
      </c>
      <c r="H13" s="394">
        <v>0</v>
      </c>
      <c r="I13" s="394">
        <f t="shared" ref="I13:I43" si="4">F13+G13-H13</f>
        <v>0</v>
      </c>
      <c r="J13" s="429">
        <f t="shared" si="2"/>
        <v>0</v>
      </c>
      <c r="K13" s="395">
        <f t="shared" ref="K13:K22" si="5">F13-J13</f>
        <v>0</v>
      </c>
      <c r="L13" s="898">
        <v>0.02</v>
      </c>
      <c r="N13" s="899"/>
      <c r="P13" s="799"/>
    </row>
    <row r="14" spans="1:16" ht="10.5" customHeight="1">
      <c r="A14" s="393"/>
      <c r="B14" s="394"/>
      <c r="C14" s="394"/>
      <c r="D14" s="394"/>
      <c r="E14" s="394"/>
      <c r="F14" s="394"/>
      <c r="G14" s="394"/>
      <c r="H14" s="394"/>
      <c r="I14" s="394">
        <f t="shared" si="4"/>
        <v>0</v>
      </c>
      <c r="J14" s="429"/>
      <c r="K14" s="395">
        <f t="shared" si="5"/>
        <v>0</v>
      </c>
      <c r="L14" s="898"/>
      <c r="N14" s="899"/>
      <c r="P14" s="799"/>
    </row>
    <row r="15" spans="1:16" ht="15">
      <c r="A15" s="393" t="s">
        <v>464</v>
      </c>
      <c r="B15" s="394">
        <v>0</v>
      </c>
      <c r="C15" s="394">
        <v>0</v>
      </c>
      <c r="D15" s="394">
        <v>0</v>
      </c>
      <c r="E15" s="394">
        <f>B15+C15-D15</f>
        <v>0</v>
      </c>
      <c r="F15" s="394">
        <v>0</v>
      </c>
      <c r="G15" s="394">
        <v>0</v>
      </c>
      <c r="H15" s="394">
        <v>0</v>
      </c>
      <c r="I15" s="394">
        <f t="shared" si="4"/>
        <v>0</v>
      </c>
      <c r="J15" s="429">
        <f t="shared" si="2"/>
        <v>0</v>
      </c>
      <c r="K15" s="395">
        <f t="shared" si="5"/>
        <v>0</v>
      </c>
      <c r="L15" s="898">
        <v>0.02</v>
      </c>
      <c r="N15" s="899"/>
      <c r="P15" s="799"/>
    </row>
    <row r="16" spans="1:16" ht="9.75" customHeight="1">
      <c r="A16" s="393"/>
      <c r="B16" s="394"/>
      <c r="C16" s="394"/>
      <c r="D16" s="394"/>
      <c r="E16" s="394"/>
      <c r="F16" s="394"/>
      <c r="G16" s="394"/>
      <c r="H16" s="394"/>
      <c r="I16" s="394">
        <f t="shared" si="4"/>
        <v>0</v>
      </c>
      <c r="J16" s="429"/>
      <c r="K16" s="395">
        <f t="shared" si="5"/>
        <v>0</v>
      </c>
      <c r="L16" s="898"/>
      <c r="N16" s="899"/>
      <c r="P16" s="799"/>
    </row>
    <row r="17" spans="1:16" ht="15">
      <c r="A17" s="393" t="s">
        <v>465</v>
      </c>
      <c r="B17" s="394">
        <v>0</v>
      </c>
      <c r="C17" s="394">
        <v>0</v>
      </c>
      <c r="D17" s="394">
        <f>SUM(D9:D16)</f>
        <v>0</v>
      </c>
      <c r="E17" s="394">
        <f>B17+C17-D17</f>
        <v>0</v>
      </c>
      <c r="F17" s="394">
        <v>0</v>
      </c>
      <c r="G17" s="394">
        <v>0</v>
      </c>
      <c r="H17" s="394">
        <v>0</v>
      </c>
      <c r="I17" s="394">
        <f t="shared" si="4"/>
        <v>0</v>
      </c>
      <c r="J17" s="429">
        <f t="shared" si="2"/>
        <v>0</v>
      </c>
      <c r="K17" s="395">
        <f t="shared" si="5"/>
        <v>0</v>
      </c>
      <c r="L17" s="898">
        <v>0.05</v>
      </c>
      <c r="N17" s="899"/>
      <c r="P17" s="799"/>
    </row>
    <row r="18" spans="1:16" ht="9" customHeight="1">
      <c r="A18" s="393"/>
      <c r="B18" s="394"/>
      <c r="C18" s="394"/>
      <c r="D18" s="394"/>
      <c r="E18" s="394"/>
      <c r="F18" s="394"/>
      <c r="G18" s="394"/>
      <c r="H18" s="394"/>
      <c r="I18" s="394">
        <f t="shared" si="4"/>
        <v>0</v>
      </c>
      <c r="J18" s="429"/>
      <c r="K18" s="395">
        <f t="shared" si="5"/>
        <v>0</v>
      </c>
      <c r="L18" s="898"/>
      <c r="N18" s="899"/>
      <c r="P18" s="799"/>
    </row>
    <row r="19" spans="1:16" ht="15">
      <c r="A19" s="393" t="s">
        <v>466</v>
      </c>
      <c r="B19" s="394">
        <v>0</v>
      </c>
      <c r="C19" s="394">
        <v>0</v>
      </c>
      <c r="D19" s="394">
        <v>0</v>
      </c>
      <c r="E19" s="394">
        <f>B19+C19-D19</f>
        <v>0</v>
      </c>
      <c r="F19" s="394">
        <v>0</v>
      </c>
      <c r="G19" s="394">
        <v>0</v>
      </c>
      <c r="H19" s="394">
        <v>0</v>
      </c>
      <c r="I19" s="394">
        <f t="shared" si="4"/>
        <v>0</v>
      </c>
      <c r="J19" s="429">
        <f t="shared" si="2"/>
        <v>0</v>
      </c>
      <c r="K19" s="395">
        <f t="shared" si="5"/>
        <v>0</v>
      </c>
      <c r="L19" s="898">
        <v>0.05</v>
      </c>
      <c r="N19" s="899"/>
      <c r="P19" s="799"/>
    </row>
    <row r="20" spans="1:16" ht="10.5" customHeight="1">
      <c r="A20" s="393"/>
      <c r="B20" s="394"/>
      <c r="C20" s="394"/>
      <c r="D20" s="394"/>
      <c r="E20" s="394"/>
      <c r="F20" s="394"/>
      <c r="G20" s="394"/>
      <c r="H20" s="394"/>
      <c r="I20" s="394">
        <f t="shared" si="4"/>
        <v>0</v>
      </c>
      <c r="J20" s="429"/>
      <c r="K20" s="395">
        <f t="shared" si="5"/>
        <v>0</v>
      </c>
      <c r="L20" s="898"/>
      <c r="N20" s="899"/>
      <c r="P20" s="799"/>
    </row>
    <row r="21" spans="1:16" ht="15">
      <c r="A21" s="393" t="s">
        <v>467</v>
      </c>
      <c r="B21" s="394">
        <v>0</v>
      </c>
      <c r="C21" s="394">
        <v>0</v>
      </c>
      <c r="D21" s="394">
        <v>0</v>
      </c>
      <c r="E21" s="394">
        <f>B21+C21-D21</f>
        <v>0</v>
      </c>
      <c r="F21" s="394">
        <v>0</v>
      </c>
      <c r="G21" s="394">
        <v>0</v>
      </c>
      <c r="H21" s="394">
        <v>0</v>
      </c>
      <c r="I21" s="394">
        <f t="shared" si="4"/>
        <v>0</v>
      </c>
      <c r="J21" s="429">
        <f t="shared" si="2"/>
        <v>0</v>
      </c>
      <c r="K21" s="395">
        <f t="shared" si="5"/>
        <v>0</v>
      </c>
      <c r="L21" s="898">
        <v>0.2</v>
      </c>
      <c r="N21" s="899"/>
      <c r="P21" s="799"/>
    </row>
    <row r="22" spans="1:16" ht="9" customHeight="1">
      <c r="A22" s="393"/>
      <c r="B22" s="394"/>
      <c r="C22" s="394"/>
      <c r="D22" s="394"/>
      <c r="E22" s="394"/>
      <c r="F22" s="394"/>
      <c r="G22" s="394"/>
      <c r="H22" s="394"/>
      <c r="I22" s="394">
        <f t="shared" si="4"/>
        <v>0</v>
      </c>
      <c r="J22" s="429"/>
      <c r="K22" s="395">
        <f t="shared" si="5"/>
        <v>0</v>
      </c>
      <c r="L22" s="898"/>
      <c r="N22" s="899"/>
      <c r="P22" s="799"/>
    </row>
    <row r="23" spans="1:16" ht="15">
      <c r="A23" s="393" t="s">
        <v>468</v>
      </c>
      <c r="B23" s="394">
        <v>0</v>
      </c>
      <c r="C23" s="394">
        <v>1465948</v>
      </c>
      <c r="D23" s="394">
        <v>0</v>
      </c>
      <c r="E23" s="394">
        <f>B23+C23-D23</f>
        <v>1465948</v>
      </c>
      <c r="F23" s="394">
        <v>0</v>
      </c>
      <c r="G23" s="394">
        <f>ROUND(E23*0.1,0)</f>
        <v>146595</v>
      </c>
      <c r="H23" s="394">
        <v>0</v>
      </c>
      <c r="I23" s="394">
        <f t="shared" si="4"/>
        <v>146595</v>
      </c>
      <c r="J23" s="429">
        <f t="shared" si="2"/>
        <v>1319353</v>
      </c>
      <c r="K23" s="395">
        <v>0</v>
      </c>
      <c r="L23" s="898">
        <v>0.1</v>
      </c>
      <c r="N23" s="899"/>
      <c r="P23" s="799"/>
    </row>
    <row r="24" spans="1:16" ht="9.75" customHeight="1">
      <c r="A24" s="393"/>
      <c r="B24" s="394"/>
      <c r="C24" s="394"/>
      <c r="D24" s="394"/>
      <c r="E24" s="394"/>
      <c r="F24" s="394"/>
      <c r="G24" s="394"/>
      <c r="H24" s="394"/>
      <c r="I24" s="394">
        <f t="shared" si="4"/>
        <v>0</v>
      </c>
      <c r="J24" s="429"/>
      <c r="K24" s="395">
        <f>F24-J24</f>
        <v>0</v>
      </c>
      <c r="L24" s="898"/>
      <c r="N24" s="899"/>
      <c r="P24" s="799"/>
    </row>
    <row r="25" spans="1:16" ht="15">
      <c r="A25" s="393" t="s">
        <v>469</v>
      </c>
      <c r="B25" s="394">
        <v>178178869</v>
      </c>
      <c r="C25" s="394">
        <v>453776</v>
      </c>
      <c r="D25" s="394">
        <v>0</v>
      </c>
      <c r="E25" s="394">
        <f>B25+C25-D25</f>
        <v>178632645</v>
      </c>
      <c r="F25" s="394">
        <v>36852689</v>
      </c>
      <c r="G25" s="394">
        <f>ROUND(E25*0.06,0)</f>
        <v>10717959</v>
      </c>
      <c r="H25" s="394">
        <v>0</v>
      </c>
      <c r="I25" s="394">
        <f t="shared" si="4"/>
        <v>47570648</v>
      </c>
      <c r="J25" s="429">
        <f t="shared" si="2"/>
        <v>131061997</v>
      </c>
      <c r="K25" s="395">
        <v>141326180</v>
      </c>
      <c r="L25" s="898">
        <v>0.06</v>
      </c>
      <c r="N25" s="899"/>
      <c r="P25" s="799"/>
    </row>
    <row r="26" spans="1:16" ht="9" customHeight="1">
      <c r="A26" s="393"/>
      <c r="B26" s="394"/>
      <c r="C26" s="394"/>
      <c r="D26" s="394"/>
      <c r="E26" s="394"/>
      <c r="F26" s="394"/>
      <c r="G26" s="394">
        <f t="shared" ref="G26:G38" si="6">ROUND(E26*0.06,0)</f>
        <v>0</v>
      </c>
      <c r="H26" s="394"/>
      <c r="I26" s="394">
        <f t="shared" si="4"/>
        <v>0</v>
      </c>
      <c r="J26" s="429"/>
      <c r="K26" s="395"/>
      <c r="L26" s="898"/>
      <c r="N26" s="899"/>
      <c r="P26" s="799"/>
    </row>
    <row r="27" spans="1:16" ht="15">
      <c r="A27" s="393" t="s">
        <v>470</v>
      </c>
      <c r="B27" s="394">
        <v>0</v>
      </c>
      <c r="C27" s="394">
        <v>0</v>
      </c>
      <c r="D27" s="394">
        <v>0</v>
      </c>
      <c r="E27" s="394">
        <f>B27+C27-D27</f>
        <v>0</v>
      </c>
      <c r="F27" s="394">
        <v>0</v>
      </c>
      <c r="G27" s="394">
        <f t="shared" si="6"/>
        <v>0</v>
      </c>
      <c r="H27" s="394">
        <v>0</v>
      </c>
      <c r="I27" s="394">
        <f t="shared" si="4"/>
        <v>0</v>
      </c>
      <c r="J27" s="429">
        <f t="shared" si="2"/>
        <v>0</v>
      </c>
      <c r="K27" s="395">
        <v>0</v>
      </c>
      <c r="L27" s="898">
        <v>0.1</v>
      </c>
      <c r="N27" s="899"/>
      <c r="P27" s="799"/>
    </row>
    <row r="28" spans="1:16" ht="9.75" customHeight="1">
      <c r="A28" s="393"/>
      <c r="B28" s="394"/>
      <c r="C28" s="394"/>
      <c r="D28" s="394"/>
      <c r="E28" s="394"/>
      <c r="F28" s="394"/>
      <c r="G28" s="394">
        <f t="shared" si="6"/>
        <v>0</v>
      </c>
      <c r="H28" s="394"/>
      <c r="I28" s="394">
        <f t="shared" si="4"/>
        <v>0</v>
      </c>
      <c r="J28" s="429"/>
      <c r="K28" s="395"/>
      <c r="L28" s="898"/>
      <c r="N28" s="899"/>
      <c r="P28" s="799"/>
    </row>
    <row r="29" spans="1:16" ht="15">
      <c r="A29" s="393" t="s">
        <v>471</v>
      </c>
      <c r="B29" s="394">
        <v>165419</v>
      </c>
      <c r="C29" s="394">
        <v>0</v>
      </c>
      <c r="D29" s="394">
        <v>0</v>
      </c>
      <c r="E29" s="394">
        <f>B29+C29-D29</f>
        <v>165419</v>
      </c>
      <c r="F29" s="394">
        <v>24951</v>
      </c>
      <c r="G29" s="394">
        <f>ROUND(E29*0.1,0)</f>
        <v>16542</v>
      </c>
      <c r="H29" s="394">
        <v>0</v>
      </c>
      <c r="I29" s="394">
        <f t="shared" si="4"/>
        <v>41493</v>
      </c>
      <c r="J29" s="429">
        <f t="shared" si="2"/>
        <v>123926</v>
      </c>
      <c r="K29" s="395">
        <v>140468</v>
      </c>
      <c r="L29" s="898">
        <v>0.1</v>
      </c>
      <c r="N29" s="899"/>
      <c r="P29" s="799"/>
    </row>
    <row r="30" spans="1:16" ht="10.5" customHeight="1">
      <c r="A30" s="393"/>
      <c r="B30" s="394"/>
      <c r="C30" s="394"/>
      <c r="D30" s="394"/>
      <c r="E30" s="394"/>
      <c r="F30" s="394"/>
      <c r="G30" s="394">
        <f t="shared" si="6"/>
        <v>0</v>
      </c>
      <c r="H30" s="394"/>
      <c r="I30" s="394">
        <f t="shared" si="4"/>
        <v>0</v>
      </c>
      <c r="J30" s="429"/>
      <c r="K30" s="395"/>
      <c r="L30" s="898"/>
      <c r="N30" s="899"/>
      <c r="P30" s="799"/>
    </row>
    <row r="31" spans="1:16" ht="15">
      <c r="A31" s="393" t="s">
        <v>472</v>
      </c>
      <c r="B31" s="394">
        <v>730529</v>
      </c>
      <c r="C31" s="394">
        <v>0</v>
      </c>
      <c r="D31" s="394">
        <v>0</v>
      </c>
      <c r="E31" s="394">
        <f>B31+C31-D31</f>
        <v>730529</v>
      </c>
      <c r="F31" s="394">
        <v>561308</v>
      </c>
      <c r="G31" s="394">
        <f>ROUND(E31*0.15,0)</f>
        <v>109579</v>
      </c>
      <c r="H31" s="394">
        <v>0</v>
      </c>
      <c r="I31" s="394">
        <f t="shared" si="4"/>
        <v>670887</v>
      </c>
      <c r="J31" s="429">
        <f t="shared" si="2"/>
        <v>59642</v>
      </c>
      <c r="K31" s="395">
        <v>169221</v>
      </c>
      <c r="L31" s="898">
        <v>0.15</v>
      </c>
      <c r="N31" s="899"/>
      <c r="P31" s="799"/>
    </row>
    <row r="32" spans="1:16" ht="9" customHeight="1">
      <c r="A32" s="393"/>
      <c r="B32" s="394"/>
      <c r="C32" s="394"/>
      <c r="D32" s="394"/>
      <c r="E32" s="394"/>
      <c r="F32" s="394"/>
      <c r="G32" s="394">
        <f t="shared" si="6"/>
        <v>0</v>
      </c>
      <c r="H32" s="394"/>
      <c r="I32" s="394">
        <f t="shared" si="4"/>
        <v>0</v>
      </c>
      <c r="J32" s="429"/>
      <c r="K32" s="395"/>
      <c r="L32" s="898"/>
      <c r="N32" s="899"/>
      <c r="P32" s="799"/>
    </row>
    <row r="33" spans="1:16" ht="15">
      <c r="A33" s="393" t="s">
        <v>473</v>
      </c>
      <c r="B33" s="394">
        <v>0</v>
      </c>
      <c r="C33" s="394">
        <v>0</v>
      </c>
      <c r="D33" s="394">
        <v>0</v>
      </c>
      <c r="E33" s="394">
        <f>B33+C33-D33</f>
        <v>0</v>
      </c>
      <c r="F33" s="394">
        <v>0</v>
      </c>
      <c r="G33" s="394">
        <f t="shared" si="6"/>
        <v>0</v>
      </c>
      <c r="H33" s="394">
        <v>0</v>
      </c>
      <c r="I33" s="394">
        <f t="shared" si="4"/>
        <v>0</v>
      </c>
      <c r="J33" s="429">
        <f t="shared" si="2"/>
        <v>0</v>
      </c>
      <c r="K33" s="395">
        <v>0</v>
      </c>
      <c r="L33" s="898">
        <v>0.1</v>
      </c>
      <c r="N33" s="899"/>
      <c r="P33" s="799"/>
    </row>
    <row r="34" spans="1:16" ht="9.75" customHeight="1">
      <c r="A34" s="393"/>
      <c r="B34" s="394"/>
      <c r="C34" s="394"/>
      <c r="D34" s="394"/>
      <c r="E34" s="394"/>
      <c r="F34" s="394"/>
      <c r="G34" s="394">
        <f t="shared" si="6"/>
        <v>0</v>
      </c>
      <c r="H34" s="394"/>
      <c r="I34" s="394">
        <f t="shared" si="4"/>
        <v>0</v>
      </c>
      <c r="J34" s="429"/>
      <c r="K34" s="395"/>
      <c r="L34" s="898"/>
      <c r="N34" s="899"/>
      <c r="P34" s="799"/>
    </row>
    <row r="35" spans="1:16" ht="30">
      <c r="A35" s="891" t="s">
        <v>474</v>
      </c>
      <c r="B35" s="394">
        <v>2270574</v>
      </c>
      <c r="C35" s="394">
        <v>0</v>
      </c>
      <c r="D35" s="394">
        <v>0</v>
      </c>
      <c r="E35" s="394">
        <f>B35+C35-D35</f>
        <v>2270574</v>
      </c>
      <c r="F35" s="394">
        <v>1348804</v>
      </c>
      <c r="G35" s="394">
        <f>ROUND(E35*0.2,0)</f>
        <v>454115</v>
      </c>
      <c r="H35" s="394">
        <v>0</v>
      </c>
      <c r="I35" s="394">
        <f t="shared" si="4"/>
        <v>1802919</v>
      </c>
      <c r="J35" s="429">
        <f t="shared" si="2"/>
        <v>467655</v>
      </c>
      <c r="K35" s="395">
        <v>921770</v>
      </c>
      <c r="L35" s="898">
        <v>0.2</v>
      </c>
      <c r="N35" s="899"/>
      <c r="P35" s="799"/>
    </row>
    <row r="36" spans="1:16" ht="15">
      <c r="A36" s="393"/>
      <c r="B36" s="394"/>
      <c r="C36" s="394"/>
      <c r="D36" s="394"/>
      <c r="E36" s="394"/>
      <c r="F36" s="394"/>
      <c r="G36" s="394">
        <f t="shared" si="6"/>
        <v>0</v>
      </c>
      <c r="H36" s="394"/>
      <c r="I36" s="394">
        <f t="shared" si="4"/>
        <v>0</v>
      </c>
      <c r="J36" s="429"/>
      <c r="K36" s="395"/>
      <c r="L36" s="898"/>
      <c r="N36" s="899"/>
      <c r="P36" s="799"/>
    </row>
    <row r="37" spans="1:16" ht="15">
      <c r="A37" s="393" t="s">
        <v>475</v>
      </c>
      <c r="B37" s="394">
        <v>0</v>
      </c>
      <c r="C37" s="394">
        <v>0</v>
      </c>
      <c r="D37" s="394">
        <v>0</v>
      </c>
      <c r="E37" s="394">
        <f>B37+C37-D37</f>
        <v>0</v>
      </c>
      <c r="F37" s="394">
        <v>0</v>
      </c>
      <c r="G37" s="394">
        <f t="shared" si="6"/>
        <v>0</v>
      </c>
      <c r="H37" s="394">
        <v>0</v>
      </c>
      <c r="I37" s="394">
        <f t="shared" si="4"/>
        <v>0</v>
      </c>
      <c r="J37" s="429">
        <f t="shared" si="2"/>
        <v>0</v>
      </c>
      <c r="K37" s="395">
        <v>0</v>
      </c>
      <c r="L37" s="898">
        <v>0.1</v>
      </c>
      <c r="N37" s="899"/>
      <c r="P37" s="799"/>
    </row>
    <row r="38" spans="1:16" ht="9.75" customHeight="1">
      <c r="A38" s="393"/>
      <c r="B38" s="394"/>
      <c r="C38" s="394"/>
      <c r="D38" s="394"/>
      <c r="E38" s="394"/>
      <c r="F38" s="394"/>
      <c r="G38" s="394">
        <f t="shared" si="6"/>
        <v>0</v>
      </c>
      <c r="H38" s="394"/>
      <c r="I38" s="394">
        <f t="shared" si="4"/>
        <v>0</v>
      </c>
      <c r="J38" s="429"/>
      <c r="K38" s="395"/>
      <c r="L38" s="898"/>
      <c r="N38" s="899"/>
      <c r="P38" s="799"/>
    </row>
    <row r="39" spans="1:16" ht="15">
      <c r="A39" s="393" t="s">
        <v>476</v>
      </c>
      <c r="B39" s="394">
        <v>45546</v>
      </c>
      <c r="C39" s="394">
        <v>0</v>
      </c>
      <c r="D39" s="394">
        <v>0</v>
      </c>
      <c r="E39" s="394">
        <f>B39+C39-D39</f>
        <v>45546</v>
      </c>
      <c r="F39" s="394">
        <v>36897</v>
      </c>
      <c r="G39" s="394">
        <f>ROUND(E39*0.1,0)</f>
        <v>4555</v>
      </c>
      <c r="H39" s="394">
        <v>0</v>
      </c>
      <c r="I39" s="394">
        <f t="shared" si="4"/>
        <v>41452</v>
      </c>
      <c r="J39" s="429">
        <f t="shared" si="2"/>
        <v>4094</v>
      </c>
      <c r="K39" s="395">
        <v>8649</v>
      </c>
      <c r="L39" s="898">
        <v>0.1</v>
      </c>
      <c r="N39" s="899"/>
      <c r="P39" s="799"/>
    </row>
    <row r="40" spans="1:16" ht="9.75" customHeight="1">
      <c r="A40" s="393"/>
      <c r="B40" s="394"/>
      <c r="C40" s="394"/>
      <c r="D40" s="394"/>
      <c r="E40" s="394"/>
      <c r="F40" s="394"/>
      <c r="G40" s="394"/>
      <c r="H40" s="394"/>
      <c r="I40" s="394">
        <f t="shared" si="4"/>
        <v>0</v>
      </c>
      <c r="J40" s="429"/>
      <c r="K40" s="395"/>
      <c r="L40" s="898"/>
      <c r="N40" s="899"/>
      <c r="P40" s="799"/>
    </row>
    <row r="41" spans="1:16" ht="15">
      <c r="A41" s="393" t="s">
        <v>477</v>
      </c>
      <c r="B41" s="394">
        <v>0</v>
      </c>
      <c r="C41" s="394">
        <v>0</v>
      </c>
      <c r="D41" s="394">
        <v>0</v>
      </c>
      <c r="E41" s="394">
        <f>B41+C41-D41</f>
        <v>0</v>
      </c>
      <c r="F41" s="276"/>
      <c r="G41" s="276"/>
      <c r="H41" s="276"/>
      <c r="I41" s="394">
        <f t="shared" si="4"/>
        <v>0</v>
      </c>
      <c r="J41" s="429">
        <f t="shared" si="2"/>
        <v>0</v>
      </c>
      <c r="K41" s="395">
        <v>0</v>
      </c>
      <c r="L41" s="898"/>
      <c r="N41" s="899"/>
      <c r="P41" s="799"/>
    </row>
    <row r="42" spans="1:16" ht="9.75" customHeight="1">
      <c r="A42" s="393"/>
      <c r="B42" s="394"/>
      <c r="C42" s="394"/>
      <c r="D42" s="394"/>
      <c r="E42" s="394"/>
      <c r="F42" s="276"/>
      <c r="G42" s="276"/>
      <c r="H42" s="276"/>
      <c r="I42" s="394">
        <f t="shared" si="4"/>
        <v>0</v>
      </c>
      <c r="J42" s="429"/>
      <c r="K42" s="395"/>
      <c r="L42" s="898"/>
      <c r="N42" s="899"/>
      <c r="P42" s="799"/>
    </row>
    <row r="43" spans="1:16" ht="15">
      <c r="A43" s="393" t="s">
        <v>478</v>
      </c>
      <c r="B43" s="394">
        <v>0</v>
      </c>
      <c r="C43" s="394">
        <v>0</v>
      </c>
      <c r="D43" s="394">
        <v>0</v>
      </c>
      <c r="E43" s="394">
        <f>B43+C43-D43</f>
        <v>0</v>
      </c>
      <c r="F43" s="394">
        <v>0</v>
      </c>
      <c r="G43" s="394">
        <v>0</v>
      </c>
      <c r="H43" s="394">
        <v>0</v>
      </c>
      <c r="I43" s="394">
        <f t="shared" si="4"/>
        <v>0</v>
      </c>
      <c r="J43" s="429">
        <f t="shared" si="2"/>
        <v>0</v>
      </c>
      <c r="K43" s="395">
        <v>0</v>
      </c>
      <c r="L43" s="898">
        <v>0.1</v>
      </c>
      <c r="N43" s="899"/>
      <c r="P43" s="799"/>
    </row>
    <row r="44" spans="1:16" ht="10.5" customHeight="1">
      <c r="A44" s="393"/>
      <c r="B44" s="394"/>
      <c r="C44" s="394"/>
      <c r="D44" s="394"/>
      <c r="E44" s="394"/>
      <c r="F44" s="394"/>
      <c r="G44" s="394"/>
      <c r="H44" s="394"/>
      <c r="I44" s="394"/>
      <c r="J44" s="429"/>
      <c r="K44" s="395"/>
      <c r="L44" s="898"/>
      <c r="N44" s="899"/>
      <c r="P44" s="799"/>
    </row>
    <row r="45" spans="1:16" ht="15">
      <c r="A45" s="393"/>
      <c r="B45" s="394"/>
      <c r="C45" s="394"/>
      <c r="D45" s="394"/>
      <c r="E45" s="394"/>
      <c r="F45" s="394"/>
      <c r="G45" s="394"/>
      <c r="H45" s="394"/>
      <c r="I45" s="394"/>
      <c r="J45" s="429"/>
      <c r="K45" s="395"/>
      <c r="L45" s="898"/>
      <c r="N45" s="899"/>
    </row>
    <row r="46" spans="1:16" s="380" customFormat="1" ht="15.75">
      <c r="A46" s="863" t="s">
        <v>479</v>
      </c>
      <c r="B46" s="342">
        <f>SUM(B10:B45)</f>
        <v>181390937</v>
      </c>
      <c r="C46" s="342">
        <f>SUM(C10:C45)</f>
        <v>1919724</v>
      </c>
      <c r="D46" s="342">
        <f>SUM(D10:D45)</f>
        <v>0</v>
      </c>
      <c r="E46" s="342">
        <f>SUM(E10:E45)</f>
        <v>183310661</v>
      </c>
      <c r="F46" s="342">
        <f>SUM(F11:F45)</f>
        <v>38824649</v>
      </c>
      <c r="G46" s="342">
        <f>SUM(G11:G45)</f>
        <v>11449345</v>
      </c>
      <c r="H46" s="342">
        <f>SUM(H11:H45)</f>
        <v>0</v>
      </c>
      <c r="I46" s="342">
        <f>+F46+G46-H46</f>
        <v>50273994</v>
      </c>
      <c r="J46" s="429">
        <f>+E46-I46</f>
        <v>133036667</v>
      </c>
      <c r="K46" s="395">
        <f>SUM(K10:K45)</f>
        <v>142566288</v>
      </c>
      <c r="L46" s="900"/>
      <c r="N46" s="405"/>
    </row>
    <row r="47" spans="1:16" ht="15">
      <c r="A47" s="393" t="s">
        <v>480</v>
      </c>
      <c r="B47" s="394">
        <v>0</v>
      </c>
      <c r="C47" s="394">
        <v>0</v>
      </c>
      <c r="D47" s="394">
        <v>0</v>
      </c>
      <c r="E47" s="394">
        <f>B47+C47-D47</f>
        <v>0</v>
      </c>
      <c r="F47" s="394"/>
      <c r="G47" s="394"/>
      <c r="H47" s="394"/>
      <c r="I47" s="342"/>
      <c r="J47" s="429">
        <f>+E47-I47</f>
        <v>0</v>
      </c>
      <c r="K47" s="395">
        <f t="shared" ref="K47" si="7">+F47-J47</f>
        <v>0</v>
      </c>
      <c r="L47" s="898"/>
      <c r="N47" s="899"/>
    </row>
    <row r="48" spans="1:16" ht="15.75">
      <c r="A48" s="416" t="s">
        <v>12</v>
      </c>
      <c r="B48" s="417">
        <f t="shared" ref="B48:H48" si="8">+B46+B47</f>
        <v>181390937</v>
      </c>
      <c r="C48" s="417">
        <f t="shared" si="8"/>
        <v>1919724</v>
      </c>
      <c r="D48" s="417">
        <f t="shared" si="8"/>
        <v>0</v>
      </c>
      <c r="E48" s="417">
        <f t="shared" si="8"/>
        <v>183310661</v>
      </c>
      <c r="F48" s="417">
        <f t="shared" si="8"/>
        <v>38824649</v>
      </c>
      <c r="G48" s="417">
        <f t="shared" si="8"/>
        <v>11449345</v>
      </c>
      <c r="H48" s="417">
        <f t="shared" si="8"/>
        <v>0</v>
      </c>
      <c r="I48" s="417">
        <f>+F48+G48-H48</f>
        <v>50273994</v>
      </c>
      <c r="J48" s="430">
        <f>+E48-I48</f>
        <v>133036667</v>
      </c>
      <c r="K48" s="395">
        <f>K46+K47</f>
        <v>142566288</v>
      </c>
      <c r="L48" s="901"/>
      <c r="M48" s="799"/>
      <c r="N48" s="899"/>
      <c r="O48" s="799"/>
      <c r="P48" s="799"/>
    </row>
    <row r="49" spans="1:16">
      <c r="A49" s="409"/>
      <c r="B49" s="409"/>
      <c r="C49" s="409"/>
      <c r="D49" s="409"/>
      <c r="E49" s="409"/>
      <c r="F49" s="409"/>
      <c r="G49" s="409"/>
      <c r="H49" s="409"/>
      <c r="I49" s="409"/>
      <c r="J49" s="409"/>
      <c r="K49" s="409"/>
      <c r="L49" s="799"/>
      <c r="M49" s="799"/>
      <c r="N49" s="899"/>
      <c r="O49" s="799"/>
      <c r="P49" s="799"/>
    </row>
    <row r="50" spans="1:16">
      <c r="A50" s="356"/>
      <c r="B50" s="352"/>
      <c r="C50" s="352"/>
      <c r="D50" s="352"/>
      <c r="E50" s="352"/>
      <c r="F50" s="352"/>
      <c r="G50" s="352"/>
      <c r="H50" s="352"/>
      <c r="I50" s="352"/>
      <c r="J50" s="352"/>
      <c r="K50" s="352"/>
    </row>
    <row r="51" spans="1:16">
      <c r="A51" s="1374" t="s">
        <v>20</v>
      </c>
      <c r="B51" s="1374"/>
      <c r="C51" s="1374"/>
      <c r="D51" s="1374"/>
      <c r="E51" s="1374"/>
      <c r="F51" s="1374"/>
      <c r="G51" s="1374"/>
      <c r="H51" s="1374"/>
      <c r="I51" s="1374"/>
      <c r="J51" s="1374"/>
      <c r="K51" s="1374"/>
    </row>
    <row r="52" spans="1:16">
      <c r="A52" s="356"/>
      <c r="B52" s="570"/>
      <c r="C52" s="570"/>
      <c r="D52" s="570"/>
      <c r="E52" s="570"/>
      <c r="F52" s="352"/>
      <c r="G52" s="570"/>
      <c r="H52" s="570"/>
      <c r="I52" s="570"/>
      <c r="J52" s="352"/>
      <c r="K52" s="570"/>
    </row>
    <row r="53" spans="1:16">
      <c r="A53" s="356"/>
      <c r="B53" s="570"/>
      <c r="C53" s="570"/>
      <c r="D53" s="570"/>
      <c r="E53" s="570"/>
      <c r="F53" s="352"/>
      <c r="G53" s="570"/>
      <c r="H53" s="352"/>
      <c r="I53" s="570"/>
      <c r="J53" s="902"/>
      <c r="K53" s="570"/>
    </row>
    <row r="54" spans="1:16" ht="10.5" customHeight="1">
      <c r="A54" s="356"/>
      <c r="B54" s="570"/>
      <c r="C54" s="570"/>
      <c r="D54" s="570"/>
      <c r="E54" s="352"/>
      <c r="F54" s="570"/>
      <c r="G54" s="352"/>
      <c r="H54" s="570"/>
      <c r="I54" s="352"/>
      <c r="J54" s="570"/>
      <c r="K54" s="570"/>
    </row>
    <row r="55" spans="1:16" hidden="1">
      <c r="B55" s="876"/>
      <c r="E55" s="876"/>
      <c r="I55" s="876"/>
    </row>
    <row r="56" spans="1:16">
      <c r="B56" s="876"/>
      <c r="C56" s="876"/>
      <c r="F56" s="876"/>
      <c r="I56" s="876"/>
      <c r="J56" s="876"/>
    </row>
    <row r="57" spans="1:16">
      <c r="B57" s="876"/>
      <c r="C57" s="876">
        <f>1181589-C48</f>
        <v>-738135</v>
      </c>
      <c r="G57" s="876"/>
      <c r="J57" s="876"/>
    </row>
    <row r="58" spans="1:16">
      <c r="B58" s="876"/>
      <c r="C58" s="876"/>
    </row>
    <row r="60" spans="1:16">
      <c r="B60" s="876"/>
      <c r="C60" s="876"/>
    </row>
    <row r="61" spans="1:16">
      <c r="B61" s="876"/>
    </row>
    <row r="63" spans="1:16">
      <c r="B63" s="876"/>
    </row>
  </sheetData>
  <customSheetViews>
    <customSheetView guid="{B1076A3F-74CA-4685-9B64-0249438E4A9A}" showPageBreaks="1" printArea="1" hiddenRows="1" view="pageBreakPreview">
      <selection activeCell="K51" sqref="K51"/>
      <rowBreaks count="1" manualBreakCount="1">
        <brk id="54" max="16383" man="1"/>
      </rowBreaks>
      <colBreaks count="1" manualBreakCount="1">
        <brk id="12" max="1048575" man="1"/>
      </colBreaks>
      <pageMargins left="0" right="0" top="0" bottom="0" header="0.31496062992126" footer="0.47244094488188998"/>
      <printOptions horizontalCentered="1" verticalCentered="1"/>
      <pageSetup paperSize="9" scale="77" orientation="landscape"/>
      <headerFooter alignWithMargins="0"/>
    </customSheetView>
    <customSheetView guid="{789595AE-36A2-4B02-81C2-3D94932E7381}" showPageBreaks="1" printArea="1" hiddenRows="1" view="pageBreakPreview">
      <selection activeCell="K51" sqref="K51"/>
      <rowBreaks count="1" manualBreakCount="1">
        <brk id="54" max="16383" man="1"/>
      </rowBreaks>
      <colBreaks count="1" manualBreakCount="1">
        <brk id="12" max="1048575" man="1"/>
      </colBreaks>
      <pageMargins left="0" right="0" top="0" bottom="0" header="0.31496062992126" footer="0.47244094488188998"/>
      <printOptions horizontalCentered="1" verticalCentered="1"/>
      <pageSetup paperSize="9" scale="77" orientation="landscape"/>
      <headerFooter alignWithMargins="0"/>
    </customSheetView>
  </customSheetViews>
  <mergeCells count="18">
    <mergeCell ref="A1:K1"/>
    <mergeCell ref="A2:K2"/>
    <mergeCell ref="I3:J3"/>
    <mergeCell ref="B4:E4"/>
    <mergeCell ref="F4:I4"/>
    <mergeCell ref="L4:L6"/>
    <mergeCell ref="A51:K51"/>
    <mergeCell ref="A5:A6"/>
    <mergeCell ref="B5:B6"/>
    <mergeCell ref="C5:C6"/>
    <mergeCell ref="D5:D6"/>
    <mergeCell ref="E5:E6"/>
    <mergeCell ref="F5:F6"/>
    <mergeCell ref="G5:G6"/>
    <mergeCell ref="H5:H6"/>
    <mergeCell ref="I5:I6"/>
    <mergeCell ref="J5:J6"/>
    <mergeCell ref="K5:K6"/>
  </mergeCells>
  <printOptions horizontalCentered="1" verticalCentered="1"/>
  <pageMargins left="0" right="0" top="0" bottom="0" header="0.35433070866141703" footer="0.31496062992126"/>
  <pageSetup paperSize="9" scale="75" orientation="landscape" r:id="rId1"/>
  <headerFooter alignWithMargins="0"/>
  <rowBreaks count="1" manualBreakCount="1">
    <brk id="54" max="16383" man="1"/>
  </rowBreaks>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62"/>
  <sheetViews>
    <sheetView view="pageBreakPreview" topLeftCell="A10" zoomScale="70" zoomScaleNormal="100" workbookViewId="0">
      <selection activeCell="M28" sqref="M28"/>
    </sheetView>
  </sheetViews>
  <sheetFormatPr defaultColWidth="23.28515625" defaultRowHeight="12.75"/>
  <cols>
    <col min="1" max="1" width="41.42578125" style="151" customWidth="1"/>
    <col min="2" max="11" width="14.5703125" style="139" customWidth="1"/>
    <col min="12" max="16384" width="23.28515625" style="139"/>
  </cols>
  <sheetData>
    <row r="1" spans="1:11" ht="18.75">
      <c r="A1" s="1441" t="s">
        <v>1910</v>
      </c>
      <c r="B1" s="1441"/>
      <c r="C1" s="1441"/>
      <c r="D1" s="1441"/>
      <c r="E1" s="1441"/>
      <c r="F1" s="1441"/>
      <c r="G1" s="1441"/>
      <c r="H1" s="1441"/>
      <c r="I1" s="1441"/>
      <c r="J1" s="1441"/>
      <c r="K1" s="1441"/>
    </row>
    <row r="2" spans="1:11" ht="18.75">
      <c r="A2" s="1441" t="s">
        <v>43</v>
      </c>
      <c r="B2" s="1441"/>
      <c r="C2" s="1441"/>
      <c r="D2" s="1441"/>
      <c r="E2" s="1441"/>
      <c r="F2" s="1441"/>
      <c r="G2" s="1441"/>
      <c r="H2" s="1441"/>
      <c r="I2" s="1441"/>
      <c r="J2" s="1441"/>
      <c r="K2" s="1441"/>
    </row>
    <row r="3" spans="1:11" ht="15.75">
      <c r="A3" s="254"/>
      <c r="I3" s="1442" t="s">
        <v>3</v>
      </c>
      <c r="J3" s="1442"/>
      <c r="K3" s="879"/>
    </row>
    <row r="4" spans="1:11" s="151" customFormat="1" ht="15">
      <c r="A4" s="870" t="s">
        <v>503</v>
      </c>
      <c r="B4" s="1443" t="s">
        <v>483</v>
      </c>
      <c r="C4" s="1444"/>
      <c r="D4" s="1444"/>
      <c r="E4" s="1445"/>
      <c r="F4" s="1443" t="s">
        <v>39</v>
      </c>
      <c r="G4" s="1444"/>
      <c r="H4" s="1444"/>
      <c r="I4" s="1445"/>
      <c r="J4" s="880" t="s">
        <v>447</v>
      </c>
      <c r="K4" s="881"/>
    </row>
    <row r="5" spans="1:11" s="869" customFormat="1" ht="12.75" customHeight="1">
      <c r="A5" s="1434" t="s">
        <v>504</v>
      </c>
      <c r="B5" s="1436" t="s">
        <v>449</v>
      </c>
      <c r="C5" s="1436" t="s">
        <v>450</v>
      </c>
      <c r="D5" s="1436" t="s">
        <v>451</v>
      </c>
      <c r="E5" s="1436" t="s">
        <v>501</v>
      </c>
      <c r="F5" s="1436" t="s">
        <v>505</v>
      </c>
      <c r="G5" s="1436" t="s">
        <v>454</v>
      </c>
      <c r="H5" s="1437" t="s">
        <v>455</v>
      </c>
      <c r="I5" s="1439" t="s">
        <v>485</v>
      </c>
      <c r="J5" s="1436" t="s">
        <v>457</v>
      </c>
      <c r="K5" s="1440" t="s">
        <v>458</v>
      </c>
    </row>
    <row r="6" spans="1:11" s="869" customFormat="1" ht="90" customHeight="1">
      <c r="A6" s="1435"/>
      <c r="B6" s="1436"/>
      <c r="C6" s="1436"/>
      <c r="D6" s="1436"/>
      <c r="E6" s="1436"/>
      <c r="F6" s="1436"/>
      <c r="G6" s="1436"/>
      <c r="H6" s="1438"/>
      <c r="I6" s="1439"/>
      <c r="J6" s="1436"/>
      <c r="K6" s="1440"/>
    </row>
    <row r="7" spans="1:11">
      <c r="A7" s="871"/>
      <c r="B7" s="872">
        <v>1</v>
      </c>
      <c r="C7" s="872">
        <v>2</v>
      </c>
      <c r="D7" s="872">
        <v>3</v>
      </c>
      <c r="E7" s="872">
        <v>4</v>
      </c>
      <c r="F7" s="872">
        <v>5</v>
      </c>
      <c r="G7" s="872">
        <v>6</v>
      </c>
      <c r="H7" s="872">
        <v>7</v>
      </c>
      <c r="I7" s="872">
        <v>8</v>
      </c>
      <c r="J7" s="872">
        <v>9</v>
      </c>
      <c r="K7" s="882">
        <v>10</v>
      </c>
    </row>
    <row r="8" spans="1:11">
      <c r="A8" s="873" t="s">
        <v>506</v>
      </c>
      <c r="B8" s="396"/>
      <c r="C8" s="396"/>
      <c r="D8" s="396"/>
      <c r="E8" s="396"/>
      <c r="F8" s="396"/>
      <c r="G8" s="396"/>
      <c r="H8" s="396"/>
      <c r="I8" s="396"/>
      <c r="J8" s="396"/>
      <c r="K8" s="883"/>
    </row>
    <row r="9" spans="1:11">
      <c r="A9" s="873" t="s">
        <v>460</v>
      </c>
      <c r="B9" s="396"/>
      <c r="C9" s="396"/>
      <c r="D9" s="396"/>
      <c r="E9" s="874"/>
      <c r="F9" s="396"/>
      <c r="G9" s="396"/>
      <c r="H9" s="396"/>
      <c r="I9" s="396"/>
      <c r="J9" s="396"/>
      <c r="K9" s="883"/>
    </row>
    <row r="10" spans="1:11">
      <c r="A10" s="873" t="s">
        <v>461</v>
      </c>
      <c r="B10" s="394">
        <v>0</v>
      </c>
      <c r="C10" s="394">
        <v>0</v>
      </c>
      <c r="D10" s="394">
        <v>0</v>
      </c>
      <c r="E10" s="394">
        <f>B10+C10-D10</f>
        <v>0</v>
      </c>
      <c r="F10" s="394">
        <v>0</v>
      </c>
      <c r="G10" s="394">
        <v>0</v>
      </c>
      <c r="H10" s="394">
        <v>0</v>
      </c>
      <c r="I10" s="394">
        <v>0</v>
      </c>
      <c r="J10" s="429">
        <f>E10-I10</f>
        <v>0</v>
      </c>
      <c r="K10" s="884">
        <f t="shared" ref="K10:K24" si="0">F10-J10</f>
        <v>0</v>
      </c>
    </row>
    <row r="11" spans="1:11">
      <c r="A11" s="873" t="s">
        <v>462</v>
      </c>
      <c r="B11" s="394">
        <v>0</v>
      </c>
      <c r="C11" s="394">
        <v>0</v>
      </c>
      <c r="D11" s="394">
        <v>0</v>
      </c>
      <c r="E11" s="394">
        <f>B11+C11-D11</f>
        <v>0</v>
      </c>
      <c r="F11" s="394">
        <v>0</v>
      </c>
      <c r="G11" s="394">
        <v>0</v>
      </c>
      <c r="H11" s="394">
        <v>0</v>
      </c>
      <c r="I11" s="394">
        <f>+G11+F11-H11</f>
        <v>0</v>
      </c>
      <c r="J11" s="429">
        <f t="shared" ref="J11:J43" si="1">E11-I11</f>
        <v>0</v>
      </c>
      <c r="K11" s="884"/>
    </row>
    <row r="12" spans="1:11">
      <c r="A12" s="873"/>
      <c r="B12" s="394"/>
      <c r="C12" s="394"/>
      <c r="D12" s="394"/>
      <c r="E12" s="394"/>
      <c r="F12" s="394"/>
      <c r="G12" s="394"/>
      <c r="H12" s="394"/>
      <c r="I12" s="394"/>
      <c r="J12" s="429"/>
      <c r="K12" s="884">
        <f t="shared" si="0"/>
        <v>0</v>
      </c>
    </row>
    <row r="13" spans="1:11">
      <c r="A13" s="873" t="s">
        <v>463</v>
      </c>
      <c r="B13" s="394">
        <v>0</v>
      </c>
      <c r="C13" s="394">
        <v>0</v>
      </c>
      <c r="D13" s="394">
        <v>0</v>
      </c>
      <c r="E13" s="394">
        <f>B13+C13-D13</f>
        <v>0</v>
      </c>
      <c r="F13" s="394">
        <v>0</v>
      </c>
      <c r="G13" s="394">
        <v>0</v>
      </c>
      <c r="H13" s="394">
        <v>0</v>
      </c>
      <c r="I13" s="394">
        <f>+G13+F13-H13</f>
        <v>0</v>
      </c>
      <c r="J13" s="429">
        <f t="shared" si="1"/>
        <v>0</v>
      </c>
      <c r="K13" s="884"/>
    </row>
    <row r="14" spans="1:11">
      <c r="A14" s="873"/>
      <c r="B14" s="394"/>
      <c r="C14" s="394"/>
      <c r="D14" s="394"/>
      <c r="E14" s="394"/>
      <c r="F14" s="394"/>
      <c r="G14" s="394"/>
      <c r="H14" s="394"/>
      <c r="I14" s="394"/>
      <c r="J14" s="429"/>
      <c r="K14" s="884">
        <f t="shared" si="0"/>
        <v>0</v>
      </c>
    </row>
    <row r="15" spans="1:11">
      <c r="A15" s="873" t="s">
        <v>464</v>
      </c>
      <c r="B15" s="394">
        <v>0</v>
      </c>
      <c r="C15" s="394">
        <v>0</v>
      </c>
      <c r="D15" s="394">
        <v>0</v>
      </c>
      <c r="E15" s="394">
        <f>B15+C15-D15</f>
        <v>0</v>
      </c>
      <c r="F15" s="394">
        <v>0</v>
      </c>
      <c r="G15" s="394">
        <v>0</v>
      </c>
      <c r="H15" s="394">
        <v>0</v>
      </c>
      <c r="I15" s="394">
        <f>+G15+F15-H15</f>
        <v>0</v>
      </c>
      <c r="J15" s="429">
        <f t="shared" si="1"/>
        <v>0</v>
      </c>
      <c r="K15" s="884"/>
    </row>
    <row r="16" spans="1:11">
      <c r="A16" s="873"/>
      <c r="B16" s="394"/>
      <c r="C16" s="394"/>
      <c r="D16" s="394"/>
      <c r="E16" s="394"/>
      <c r="F16" s="394"/>
      <c r="G16" s="394"/>
      <c r="H16" s="394"/>
      <c r="I16" s="394"/>
      <c r="J16" s="429"/>
      <c r="K16" s="884">
        <f t="shared" si="0"/>
        <v>0</v>
      </c>
    </row>
    <row r="17" spans="1:12">
      <c r="A17" s="873" t="s">
        <v>465</v>
      </c>
      <c r="B17" s="394">
        <v>0</v>
      </c>
      <c r="C17" s="394">
        <v>0</v>
      </c>
      <c r="D17" s="394">
        <f>SUM(D9:D16)</f>
        <v>0</v>
      </c>
      <c r="E17" s="394">
        <f>B17+C17-D17</f>
        <v>0</v>
      </c>
      <c r="F17" s="394">
        <v>0</v>
      </c>
      <c r="G17" s="394">
        <v>0</v>
      </c>
      <c r="H17" s="394">
        <v>0</v>
      </c>
      <c r="I17" s="394">
        <f>+G17+F17-H17</f>
        <v>0</v>
      </c>
      <c r="J17" s="429">
        <f t="shared" si="1"/>
        <v>0</v>
      </c>
      <c r="K17" s="884"/>
    </row>
    <row r="18" spans="1:12">
      <c r="A18" s="873"/>
      <c r="B18" s="394"/>
      <c r="C18" s="394"/>
      <c r="D18" s="394"/>
      <c r="E18" s="394"/>
      <c r="F18" s="394"/>
      <c r="G18" s="394"/>
      <c r="H18" s="394"/>
      <c r="I18" s="394"/>
      <c r="J18" s="429"/>
      <c r="K18" s="884">
        <f t="shared" si="0"/>
        <v>0</v>
      </c>
    </row>
    <row r="19" spans="1:12">
      <c r="A19" s="873" t="s">
        <v>466</v>
      </c>
      <c r="B19" s="394">
        <v>0</v>
      </c>
      <c r="C19" s="394">
        <v>0</v>
      </c>
      <c r="D19" s="394">
        <v>0</v>
      </c>
      <c r="E19" s="394">
        <f>B19+C19-D19</f>
        <v>0</v>
      </c>
      <c r="F19" s="394">
        <v>0</v>
      </c>
      <c r="G19" s="394">
        <v>0</v>
      </c>
      <c r="H19" s="394">
        <v>0</v>
      </c>
      <c r="I19" s="394">
        <f>+G19+F19-H19</f>
        <v>0</v>
      </c>
      <c r="J19" s="429">
        <f t="shared" si="1"/>
        <v>0</v>
      </c>
      <c r="K19" s="884"/>
    </row>
    <row r="20" spans="1:12">
      <c r="A20" s="873"/>
      <c r="B20" s="394"/>
      <c r="C20" s="394"/>
      <c r="D20" s="394"/>
      <c r="E20" s="394"/>
      <c r="F20" s="394"/>
      <c r="G20" s="394"/>
      <c r="H20" s="394"/>
      <c r="I20" s="394"/>
      <c r="J20" s="429"/>
      <c r="K20" s="884">
        <f t="shared" si="0"/>
        <v>0</v>
      </c>
    </row>
    <row r="21" spans="1:12">
      <c r="A21" s="873" t="s">
        <v>467</v>
      </c>
      <c r="B21" s="394">
        <v>0</v>
      </c>
      <c r="C21" s="394">
        <v>0</v>
      </c>
      <c r="D21" s="394">
        <v>0</v>
      </c>
      <c r="E21" s="394">
        <f>B21+C21-D21</f>
        <v>0</v>
      </c>
      <c r="F21" s="394">
        <v>0</v>
      </c>
      <c r="G21" s="394">
        <v>0</v>
      </c>
      <c r="H21" s="394">
        <v>0</v>
      </c>
      <c r="I21" s="394">
        <f>+G21+F21-H21</f>
        <v>0</v>
      </c>
      <c r="J21" s="429">
        <f t="shared" si="1"/>
        <v>0</v>
      </c>
      <c r="K21" s="884"/>
      <c r="L21" s="885"/>
    </row>
    <row r="22" spans="1:12">
      <c r="A22" s="873"/>
      <c r="B22" s="394"/>
      <c r="C22" s="394"/>
      <c r="D22" s="394"/>
      <c r="E22" s="394"/>
      <c r="F22" s="394"/>
      <c r="G22" s="394"/>
      <c r="H22" s="394"/>
      <c r="I22" s="394"/>
      <c r="J22" s="429"/>
      <c r="K22" s="884">
        <f t="shared" si="0"/>
        <v>0</v>
      </c>
      <c r="L22" s="885"/>
    </row>
    <row r="23" spans="1:12">
      <c r="A23" s="873" t="s">
        <v>468</v>
      </c>
      <c r="B23" s="394">
        <v>0</v>
      </c>
      <c r="C23" s="394">
        <v>0</v>
      </c>
      <c r="D23" s="394">
        <v>0</v>
      </c>
      <c r="E23" s="394">
        <f>B23+C23-D23</f>
        <v>0</v>
      </c>
      <c r="F23" s="394">
        <v>0</v>
      </c>
      <c r="G23" s="394">
        <v>0</v>
      </c>
      <c r="H23" s="394">
        <v>0</v>
      </c>
      <c r="I23" s="394">
        <f>+G23+F23-H23</f>
        <v>0</v>
      </c>
      <c r="J23" s="429">
        <f t="shared" si="1"/>
        <v>0</v>
      </c>
      <c r="K23" s="884"/>
      <c r="L23" s="885"/>
    </row>
    <row r="24" spans="1:12">
      <c r="A24" s="873"/>
      <c r="B24" s="394"/>
      <c r="C24" s="394"/>
      <c r="D24" s="394"/>
      <c r="E24" s="394"/>
      <c r="F24" s="394"/>
      <c r="G24" s="394"/>
      <c r="H24" s="394"/>
      <c r="I24" s="394"/>
      <c r="J24" s="429"/>
      <c r="K24" s="884">
        <f t="shared" si="0"/>
        <v>0</v>
      </c>
      <c r="L24" s="885"/>
    </row>
    <row r="25" spans="1:12">
      <c r="A25" s="873" t="s">
        <v>469</v>
      </c>
      <c r="B25" s="394">
        <v>1854775</v>
      </c>
      <c r="C25" s="394">
        <v>6476</v>
      </c>
      <c r="D25" s="394">
        <v>0</v>
      </c>
      <c r="E25" s="394">
        <f>B25+C25-D25</f>
        <v>1861251</v>
      </c>
      <c r="F25" s="394">
        <v>1853939</v>
      </c>
      <c r="G25" s="394">
        <v>6475</v>
      </c>
      <c r="H25" s="394">
        <v>0</v>
      </c>
      <c r="I25" s="394">
        <f>+G25+F25-H25</f>
        <v>1860414</v>
      </c>
      <c r="J25" s="429">
        <f t="shared" si="1"/>
        <v>837</v>
      </c>
      <c r="K25" s="886">
        <v>836</v>
      </c>
      <c r="L25" s="885"/>
    </row>
    <row r="26" spans="1:12">
      <c r="A26" s="873"/>
      <c r="B26" s="394"/>
      <c r="C26" s="394"/>
      <c r="D26" s="394"/>
      <c r="E26" s="394"/>
      <c r="F26" s="394"/>
      <c r="G26" s="394"/>
      <c r="H26" s="394"/>
      <c r="I26" s="394"/>
      <c r="J26" s="429"/>
      <c r="K26" s="884"/>
      <c r="L26" s="885"/>
    </row>
    <row r="27" spans="1:12">
      <c r="A27" s="873" t="s">
        <v>470</v>
      </c>
      <c r="B27" s="394">
        <v>0</v>
      </c>
      <c r="C27" s="394">
        <v>0</v>
      </c>
      <c r="D27" s="394">
        <v>0</v>
      </c>
      <c r="E27" s="394">
        <f>B27+C27-D27</f>
        <v>0</v>
      </c>
      <c r="F27" s="394">
        <v>0</v>
      </c>
      <c r="G27" s="394">
        <v>0</v>
      </c>
      <c r="H27" s="394">
        <v>0</v>
      </c>
      <c r="I27" s="394">
        <f>+G27+F27-H27</f>
        <v>0</v>
      </c>
      <c r="J27" s="429">
        <f t="shared" si="1"/>
        <v>0</v>
      </c>
      <c r="K27" s="884">
        <v>0</v>
      </c>
      <c r="L27" s="885"/>
    </row>
    <row r="28" spans="1:12">
      <c r="A28" s="873"/>
      <c r="B28" s="394"/>
      <c r="C28" s="394"/>
      <c r="D28" s="394"/>
      <c r="E28" s="394"/>
      <c r="F28" s="394"/>
      <c r="G28" s="394"/>
      <c r="H28" s="394"/>
      <c r="I28" s="394"/>
      <c r="J28" s="429"/>
      <c r="K28" s="884"/>
      <c r="L28" s="885"/>
    </row>
    <row r="29" spans="1:12">
      <c r="A29" s="873" t="s">
        <v>471</v>
      </c>
      <c r="B29" s="394">
        <v>648506</v>
      </c>
      <c r="C29" s="394">
        <v>920</v>
      </c>
      <c r="D29" s="394">
        <v>0</v>
      </c>
      <c r="E29" s="394">
        <f>B29+C29-D29</f>
        <v>649426</v>
      </c>
      <c r="F29" s="394">
        <v>647885</v>
      </c>
      <c r="G29" s="394">
        <v>919</v>
      </c>
      <c r="H29" s="394">
        <v>0</v>
      </c>
      <c r="I29" s="394">
        <f>+G29+F29-H29</f>
        <v>648804</v>
      </c>
      <c r="J29" s="429">
        <f t="shared" si="1"/>
        <v>622</v>
      </c>
      <c r="K29" s="884">
        <v>621</v>
      </c>
    </row>
    <row r="30" spans="1:12">
      <c r="A30" s="873"/>
      <c r="B30" s="394"/>
      <c r="C30" s="394"/>
      <c r="D30" s="394"/>
      <c r="E30" s="394"/>
      <c r="F30" s="394"/>
      <c r="G30" s="394"/>
      <c r="H30" s="394"/>
      <c r="I30" s="394"/>
      <c r="J30" s="429"/>
      <c r="K30" s="884"/>
    </row>
    <row r="31" spans="1:12">
      <c r="A31" s="873" t="s">
        <v>472</v>
      </c>
      <c r="B31" s="394">
        <v>80136</v>
      </c>
      <c r="C31" s="394">
        <v>0</v>
      </c>
      <c r="D31" s="394">
        <v>0</v>
      </c>
      <c r="E31" s="394">
        <f>B31+C31-D31</f>
        <v>80136</v>
      </c>
      <c r="F31" s="394">
        <v>80115</v>
      </c>
      <c r="G31" s="394">
        <v>0</v>
      </c>
      <c r="H31" s="394">
        <v>0</v>
      </c>
      <c r="I31" s="394">
        <f>+G31+F31-H31</f>
        <v>80115</v>
      </c>
      <c r="J31" s="429">
        <f t="shared" si="1"/>
        <v>21</v>
      </c>
      <c r="K31" s="884">
        <v>21</v>
      </c>
    </row>
    <row r="32" spans="1:12">
      <c r="A32" s="873"/>
      <c r="B32" s="394"/>
      <c r="C32" s="394"/>
      <c r="D32" s="394"/>
      <c r="E32" s="394"/>
      <c r="F32" s="394"/>
      <c r="G32" s="394"/>
      <c r="H32" s="394"/>
      <c r="I32" s="394"/>
      <c r="J32" s="429"/>
      <c r="K32" s="884"/>
    </row>
    <row r="33" spans="1:13">
      <c r="A33" s="873" t="s">
        <v>473</v>
      </c>
      <c r="B33" s="394">
        <v>0</v>
      </c>
      <c r="C33" s="394">
        <v>0</v>
      </c>
      <c r="D33" s="394">
        <v>0</v>
      </c>
      <c r="E33" s="394">
        <f>B33+C33-D33</f>
        <v>0</v>
      </c>
      <c r="F33" s="394">
        <v>0</v>
      </c>
      <c r="G33" s="394">
        <v>0</v>
      </c>
      <c r="H33" s="394">
        <v>0</v>
      </c>
      <c r="I33" s="394">
        <f>+G33+F33-H33</f>
        <v>0</v>
      </c>
      <c r="J33" s="429">
        <f t="shared" si="1"/>
        <v>0</v>
      </c>
      <c r="K33" s="884">
        <v>0</v>
      </c>
    </row>
    <row r="34" spans="1:13">
      <c r="A34" s="873"/>
      <c r="B34" s="394"/>
      <c r="C34" s="394"/>
      <c r="D34" s="394"/>
      <c r="E34" s="394"/>
      <c r="F34" s="394"/>
      <c r="G34" s="394"/>
      <c r="H34" s="394"/>
      <c r="I34" s="394"/>
      <c r="J34" s="429"/>
      <c r="K34" s="884"/>
    </row>
    <row r="35" spans="1:13">
      <c r="A35" s="873" t="s">
        <v>474</v>
      </c>
      <c r="B35" s="394">
        <v>305423</v>
      </c>
      <c r="C35" s="394">
        <v>0</v>
      </c>
      <c r="D35" s="394">
        <v>0</v>
      </c>
      <c r="E35" s="394">
        <f>B35+C35-D35</f>
        <v>305423</v>
      </c>
      <c r="F35" s="394">
        <v>305361</v>
      </c>
      <c r="G35" s="394">
        <v>0</v>
      </c>
      <c r="H35" s="394">
        <v>0</v>
      </c>
      <c r="I35" s="394">
        <f>+G35+F35-H35</f>
        <v>305361</v>
      </c>
      <c r="J35" s="429">
        <f t="shared" si="1"/>
        <v>62</v>
      </c>
      <c r="K35" s="884">
        <v>62</v>
      </c>
    </row>
    <row r="36" spans="1:13">
      <c r="A36" s="873"/>
      <c r="B36" s="394"/>
      <c r="C36" s="394"/>
      <c r="D36" s="394"/>
      <c r="E36" s="394"/>
      <c r="F36" s="394"/>
      <c r="G36" s="394"/>
      <c r="H36" s="394"/>
      <c r="I36" s="394"/>
      <c r="J36" s="429"/>
      <c r="K36" s="884"/>
    </row>
    <row r="37" spans="1:13">
      <c r="A37" s="873" t="s">
        <v>475</v>
      </c>
      <c r="B37" s="394">
        <v>2661825</v>
      </c>
      <c r="C37" s="394">
        <v>0</v>
      </c>
      <c r="D37" s="394">
        <v>0</v>
      </c>
      <c r="E37" s="394">
        <f>B37+C37-D37</f>
        <v>2661825</v>
      </c>
      <c r="F37" s="394">
        <v>2660903</v>
      </c>
      <c r="G37" s="394">
        <v>0</v>
      </c>
      <c r="H37" s="394">
        <v>0</v>
      </c>
      <c r="I37" s="394">
        <f>+G37+F37-H37</f>
        <v>2660903</v>
      </c>
      <c r="J37" s="429">
        <f t="shared" si="1"/>
        <v>922</v>
      </c>
      <c r="K37" s="884">
        <v>922</v>
      </c>
    </row>
    <row r="38" spans="1:13">
      <c r="A38" s="873"/>
      <c r="B38" s="394"/>
      <c r="C38" s="394"/>
      <c r="D38" s="394"/>
      <c r="E38" s="394"/>
      <c r="F38" s="394"/>
      <c r="G38" s="394"/>
      <c r="H38" s="394"/>
      <c r="I38" s="394"/>
      <c r="J38" s="429"/>
      <c r="K38" s="884"/>
    </row>
    <row r="39" spans="1:13">
      <c r="A39" s="873" t="s">
        <v>476</v>
      </c>
      <c r="B39" s="394">
        <v>27885</v>
      </c>
      <c r="C39" s="394">
        <v>0</v>
      </c>
      <c r="D39" s="394">
        <v>0</v>
      </c>
      <c r="E39" s="394">
        <f>B39+C39-D39</f>
        <v>27885</v>
      </c>
      <c r="F39" s="394">
        <v>27881</v>
      </c>
      <c r="G39" s="394">
        <v>0</v>
      </c>
      <c r="H39" s="394">
        <v>0</v>
      </c>
      <c r="I39" s="394">
        <f>+G39+F39-H39</f>
        <v>27881</v>
      </c>
      <c r="J39" s="429">
        <f t="shared" si="1"/>
        <v>4</v>
      </c>
      <c r="K39" s="884">
        <v>4</v>
      </c>
    </row>
    <row r="40" spans="1:13">
      <c r="A40" s="873"/>
      <c r="B40" s="394"/>
      <c r="C40" s="394"/>
      <c r="D40" s="394"/>
      <c r="E40" s="394"/>
      <c r="F40" s="394"/>
      <c r="G40" s="394"/>
      <c r="H40" s="394"/>
      <c r="I40" s="394"/>
      <c r="J40" s="429"/>
      <c r="K40" s="884"/>
    </row>
    <row r="41" spans="1:13">
      <c r="A41" s="873" t="s">
        <v>477</v>
      </c>
      <c r="B41" s="394">
        <v>0</v>
      </c>
      <c r="C41" s="394">
        <v>0</v>
      </c>
      <c r="D41" s="394">
        <v>0</v>
      </c>
      <c r="E41" s="394">
        <f>B41+C41-D41</f>
        <v>0</v>
      </c>
      <c r="F41" s="276"/>
      <c r="G41" s="276"/>
      <c r="H41" s="276"/>
      <c r="I41" s="394"/>
      <c r="J41" s="429">
        <f t="shared" si="1"/>
        <v>0</v>
      </c>
      <c r="K41" s="884">
        <v>0</v>
      </c>
    </row>
    <row r="42" spans="1:13">
      <c r="A42" s="873"/>
      <c r="B42" s="394"/>
      <c r="C42" s="394"/>
      <c r="D42" s="394"/>
      <c r="E42" s="394"/>
      <c r="F42" s="276"/>
      <c r="G42" s="276"/>
      <c r="H42" s="276"/>
      <c r="I42" s="394"/>
      <c r="J42" s="429"/>
      <c r="K42" s="884"/>
    </row>
    <row r="43" spans="1:13">
      <c r="A43" s="873" t="s">
        <v>478</v>
      </c>
      <c r="B43" s="394">
        <v>14619</v>
      </c>
      <c r="C43" s="394">
        <v>0</v>
      </c>
      <c r="D43" s="394">
        <v>0</v>
      </c>
      <c r="E43" s="394">
        <f>B43+C43-D43</f>
        <v>14619</v>
      </c>
      <c r="F43" s="394">
        <v>14614</v>
      </c>
      <c r="G43" s="394">
        <v>0</v>
      </c>
      <c r="H43" s="394">
        <v>0</v>
      </c>
      <c r="I43" s="394">
        <f>+G43+F43-H43</f>
        <v>14614</v>
      </c>
      <c r="J43" s="429">
        <f t="shared" si="1"/>
        <v>5</v>
      </c>
      <c r="K43" s="884">
        <v>5</v>
      </c>
    </row>
    <row r="44" spans="1:13">
      <c r="A44" s="873"/>
      <c r="B44" s="394"/>
      <c r="C44" s="394"/>
      <c r="D44" s="394"/>
      <c r="E44" s="394"/>
      <c r="F44" s="394"/>
      <c r="G44" s="394"/>
      <c r="H44" s="394"/>
      <c r="I44" s="394"/>
      <c r="J44" s="429"/>
      <c r="K44" s="884"/>
    </row>
    <row r="45" spans="1:13">
      <c r="A45" s="873"/>
      <c r="B45" s="394"/>
      <c r="C45" s="394"/>
      <c r="D45" s="394"/>
      <c r="E45" s="394"/>
      <c r="F45" s="394"/>
      <c r="G45" s="394"/>
      <c r="H45" s="394"/>
      <c r="I45" s="394"/>
      <c r="J45" s="429"/>
      <c r="K45" s="884"/>
      <c r="M45" s="885"/>
    </row>
    <row r="46" spans="1:13">
      <c r="A46" s="873" t="s">
        <v>479</v>
      </c>
      <c r="B46" s="342">
        <f>SUM(B10:B45)</f>
        <v>5593169</v>
      </c>
      <c r="C46" s="342">
        <f>SUM(C10:C45)</f>
        <v>7396</v>
      </c>
      <c r="D46" s="342">
        <f>SUM(D10:D45)</f>
        <v>0</v>
      </c>
      <c r="E46" s="342">
        <f>SUM(E10:E45)</f>
        <v>5600565</v>
      </c>
      <c r="F46" s="342">
        <f>SUM(F11:F45)</f>
        <v>5590698</v>
      </c>
      <c r="G46" s="342">
        <f>SUM(G11:G45)</f>
        <v>7394</v>
      </c>
      <c r="H46" s="342">
        <f>SUM(H11:H45)</f>
        <v>0</v>
      </c>
      <c r="I46" s="342">
        <f>+F46+G46-H46</f>
        <v>5598092</v>
      </c>
      <c r="J46" s="429">
        <f>+E46-I46</f>
        <v>2473</v>
      </c>
      <c r="K46" s="884">
        <f>SUM(K25:K45)</f>
        <v>2471</v>
      </c>
      <c r="M46" s="885"/>
    </row>
    <row r="47" spans="1:13">
      <c r="A47" s="873" t="s">
        <v>480</v>
      </c>
      <c r="B47" s="394">
        <v>0</v>
      </c>
      <c r="C47" s="394">
        <v>0</v>
      </c>
      <c r="D47" s="394">
        <v>0</v>
      </c>
      <c r="E47" s="394">
        <f>B47+C47-D47</f>
        <v>0</v>
      </c>
      <c r="F47" s="394"/>
      <c r="G47" s="394"/>
      <c r="H47" s="394"/>
      <c r="I47" s="342"/>
      <c r="J47" s="429">
        <f>+E47-I47</f>
        <v>0</v>
      </c>
      <c r="K47" s="884">
        <f t="shared" ref="K47" si="2">+F47-J47</f>
        <v>0</v>
      </c>
    </row>
    <row r="48" spans="1:13" ht="13.5" thickBot="1">
      <c r="A48" s="875" t="s">
        <v>12</v>
      </c>
      <c r="B48" s="417">
        <f t="shared" ref="B48:H48" si="3">+B46+B47</f>
        <v>5593169</v>
      </c>
      <c r="C48" s="417">
        <f t="shared" si="3"/>
        <v>7396</v>
      </c>
      <c r="D48" s="417">
        <f t="shared" si="3"/>
        <v>0</v>
      </c>
      <c r="E48" s="417">
        <f t="shared" si="3"/>
        <v>5600565</v>
      </c>
      <c r="F48" s="417">
        <f t="shared" si="3"/>
        <v>5590698</v>
      </c>
      <c r="G48" s="417">
        <f t="shared" si="3"/>
        <v>7394</v>
      </c>
      <c r="H48" s="417">
        <f t="shared" si="3"/>
        <v>0</v>
      </c>
      <c r="I48" s="417">
        <f>+F48+G48-H48</f>
        <v>5598092</v>
      </c>
      <c r="J48" s="430">
        <f>+E48-I48</f>
        <v>2473</v>
      </c>
      <c r="K48" s="884">
        <f>SUM(K46:K47)</f>
        <v>2471</v>
      </c>
    </row>
    <row r="49" spans="1:11">
      <c r="A49" s="380"/>
      <c r="B49" s="876"/>
      <c r="C49" s="876"/>
      <c r="D49" s="876"/>
      <c r="E49" s="876"/>
      <c r="F49" s="876"/>
    </row>
    <row r="50" spans="1:11">
      <c r="A50" s="1374" t="s">
        <v>20</v>
      </c>
      <c r="B50" s="1374"/>
      <c r="C50" s="1374"/>
      <c r="D50" s="1374"/>
      <c r="E50" s="1374"/>
      <c r="F50" s="1374"/>
      <c r="G50" s="1374"/>
      <c r="H50" s="1374"/>
      <c r="I50" s="1374"/>
      <c r="J50" s="1374"/>
      <c r="K50" s="1374"/>
    </row>
    <row r="51" spans="1:11">
      <c r="F51" s="877"/>
      <c r="J51" s="877"/>
    </row>
    <row r="52" spans="1:11">
      <c r="F52" s="877"/>
      <c r="H52" s="878"/>
      <c r="J52" s="877"/>
    </row>
    <row r="53" spans="1:11">
      <c r="E53" s="877"/>
      <c r="G53" s="877"/>
      <c r="H53" s="151"/>
      <c r="I53" s="877"/>
    </row>
    <row r="54" spans="1:11">
      <c r="B54" s="877"/>
      <c r="E54" s="877"/>
      <c r="I54" s="877"/>
    </row>
    <row r="55" spans="1:11">
      <c r="B55" s="877"/>
      <c r="C55" s="877"/>
      <c r="F55" s="877"/>
      <c r="I55" s="877"/>
      <c r="J55" s="877"/>
    </row>
    <row r="56" spans="1:11">
      <c r="B56" s="877"/>
      <c r="C56" s="877"/>
      <c r="G56" s="877"/>
      <c r="J56" s="877"/>
    </row>
    <row r="57" spans="1:11">
      <c r="B57" s="878"/>
      <c r="C57" s="877"/>
    </row>
    <row r="59" spans="1:11">
      <c r="B59" s="877"/>
      <c r="C59" s="877"/>
    </row>
    <row r="60" spans="1:11">
      <c r="B60" s="877"/>
    </row>
    <row r="62" spans="1:11">
      <c r="B62" s="877"/>
    </row>
  </sheetData>
  <customSheetViews>
    <customSheetView guid="{B1076A3F-74CA-4685-9B64-0249438E4A9A}" scale="96" showPageBreaks="1" printArea="1" view="pageBreakPreview">
      <selection activeCell="A4" sqref="A4"/>
      <rowBreaks count="1" manualBreakCount="1">
        <brk id="49" max="10" man="1"/>
      </rowBreaks>
      <pageMargins left="0.7" right="0.7" top="0.75" bottom="0.75" header="0.3" footer="0.3"/>
      <printOptions horizontalCentered="1" verticalCentered="1"/>
      <pageSetup paperSize="9" scale="69" fitToHeight="0" orientation="landscape"/>
    </customSheetView>
    <customSheetView guid="{789595AE-36A2-4B02-81C2-3D94932E7381}" scale="96" showPageBreaks="1" printArea="1" view="pageBreakPreview">
      <selection activeCell="A4" sqref="A4"/>
      <rowBreaks count="1" manualBreakCount="1">
        <brk id="49" max="10" man="1"/>
      </rowBreaks>
      <pageMargins left="0.7" right="0.7" top="0.75" bottom="0.75" header="0.3" footer="0.3"/>
      <printOptions horizontalCentered="1" verticalCentered="1"/>
      <pageSetup paperSize="9" scale="69" fitToHeight="0" orientation="landscape"/>
    </customSheetView>
  </customSheetViews>
  <mergeCells count="17">
    <mergeCell ref="A1:K1"/>
    <mergeCell ref="A2:K2"/>
    <mergeCell ref="I3:J3"/>
    <mergeCell ref="B4:E4"/>
    <mergeCell ref="F4:I4"/>
    <mergeCell ref="A50:K50"/>
    <mergeCell ref="A5:A6"/>
    <mergeCell ref="B5:B6"/>
    <mergeCell ref="C5:C6"/>
    <mergeCell ref="D5:D6"/>
    <mergeCell ref="E5:E6"/>
    <mergeCell ref="F5:F6"/>
    <mergeCell ref="G5:G6"/>
    <mergeCell ref="H5:H6"/>
    <mergeCell ref="I5:I6"/>
    <mergeCell ref="J5:J6"/>
    <mergeCell ref="K5:K6"/>
  </mergeCells>
  <printOptions horizontalCentered="1" verticalCentered="1"/>
  <pageMargins left="0" right="0" top="0" bottom="0" header="0.35433070866141703" footer="0.31496062992126"/>
  <pageSetup paperSize="9" scale="79"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9"/>
  <sheetViews>
    <sheetView view="pageBreakPreview" zoomScaleNormal="100" workbookViewId="0">
      <selection sqref="A1:D1"/>
    </sheetView>
  </sheetViews>
  <sheetFormatPr defaultColWidth="36.5703125" defaultRowHeight="12.75"/>
  <cols>
    <col min="1" max="1" width="43.42578125" style="380" customWidth="1"/>
    <col min="2" max="2" width="24.5703125" customWidth="1"/>
    <col min="3" max="3" width="24" customWidth="1"/>
    <col min="4" max="4" width="3.5703125" hidden="1" customWidth="1"/>
  </cols>
  <sheetData>
    <row r="1" spans="1:9" ht="19.5">
      <c r="A1" s="1343" t="s">
        <v>1910</v>
      </c>
      <c r="B1" s="1343"/>
      <c r="C1" s="1343"/>
      <c r="D1" s="1343"/>
    </row>
    <row r="2" spans="1:9" ht="19.5">
      <c r="A2" s="1343" t="s">
        <v>43</v>
      </c>
      <c r="B2" s="1343"/>
      <c r="C2" s="1343"/>
      <c r="D2" s="1343"/>
    </row>
    <row r="3" spans="1:9" ht="15.75">
      <c r="A3" s="383"/>
      <c r="B3" s="383"/>
      <c r="C3" s="383"/>
      <c r="D3" s="383"/>
    </row>
    <row r="4" spans="1:9" ht="15.75">
      <c r="A4" s="383"/>
      <c r="B4" s="518"/>
      <c r="C4" s="324"/>
      <c r="D4" s="518"/>
    </row>
    <row r="5" spans="1:9" ht="15.75">
      <c r="A5" s="517"/>
      <c r="B5" s="518"/>
      <c r="C5" s="769" t="s">
        <v>68</v>
      </c>
      <c r="D5" s="518"/>
    </row>
    <row r="6" spans="1:9" s="605" customFormat="1" ht="24" customHeight="1">
      <c r="A6" s="569" t="s">
        <v>507</v>
      </c>
      <c r="B6" s="860"/>
      <c r="C6" s="861"/>
      <c r="D6" s="862"/>
      <c r="I6"/>
    </row>
    <row r="7" spans="1:9" ht="15.95" customHeight="1">
      <c r="A7" s="863"/>
      <c r="B7" s="522"/>
      <c r="C7" s="864"/>
      <c r="D7" s="518"/>
    </row>
    <row r="8" spans="1:9" ht="15.95" customHeight="1">
      <c r="A8" s="863"/>
      <c r="B8" s="865" t="s">
        <v>6</v>
      </c>
      <c r="C8" s="866" t="s">
        <v>7</v>
      </c>
      <c r="D8" s="518"/>
    </row>
    <row r="9" spans="1:9" ht="15.95" customHeight="1">
      <c r="A9" s="393" t="s">
        <v>508</v>
      </c>
      <c r="B9" s="524">
        <v>0</v>
      </c>
      <c r="C9" s="808">
        <v>0</v>
      </c>
      <c r="D9" s="518"/>
    </row>
    <row r="10" spans="1:9" ht="15.95" customHeight="1">
      <c r="A10" s="393" t="s">
        <v>509</v>
      </c>
      <c r="B10" s="524">
        <v>0</v>
      </c>
      <c r="C10" s="808">
        <v>0</v>
      </c>
      <c r="D10" s="518"/>
    </row>
    <row r="11" spans="1:9" ht="15.95" customHeight="1">
      <c r="A11" s="393" t="s">
        <v>510</v>
      </c>
      <c r="B11" s="524">
        <v>0</v>
      </c>
      <c r="C11" s="808">
        <v>0</v>
      </c>
      <c r="D11" s="518">
        <v>0</v>
      </c>
    </row>
    <row r="12" spans="1:9" ht="15.95" customHeight="1">
      <c r="A12" s="393" t="s">
        <v>511</v>
      </c>
      <c r="B12" s="524">
        <v>0</v>
      </c>
      <c r="C12" s="808">
        <v>0</v>
      </c>
      <c r="D12" s="518"/>
    </row>
    <row r="13" spans="1:9" s="380" customFormat="1" ht="15.95" customHeight="1">
      <c r="A13" s="595" t="s">
        <v>12</v>
      </c>
      <c r="B13" s="867">
        <f>SUM(B9:B12)</f>
        <v>0</v>
      </c>
      <c r="C13" s="868">
        <f>SUM(C9:C12)</f>
        <v>0</v>
      </c>
      <c r="D13" s="517"/>
    </row>
    <row r="14" spans="1:9" ht="15.75">
      <c r="A14" s="517"/>
      <c r="B14" s="537"/>
      <c r="C14" s="537"/>
      <c r="D14" s="518"/>
    </row>
    <row r="15" spans="1:9" ht="15.75">
      <c r="A15" s="517"/>
      <c r="B15" s="537"/>
      <c r="C15" s="537"/>
      <c r="D15" s="518"/>
    </row>
    <row r="16" spans="1:9" ht="15.75">
      <c r="A16" s="517"/>
      <c r="B16" s="354"/>
      <c r="C16" s="537"/>
      <c r="D16" s="518"/>
    </row>
    <row r="17" spans="1:11">
      <c r="A17" s="1374" t="s">
        <v>20</v>
      </c>
      <c r="B17" s="1374"/>
      <c r="C17" s="1374"/>
      <c r="D17" s="356"/>
      <c r="E17" s="356"/>
      <c r="F17" s="356"/>
      <c r="G17" s="356"/>
      <c r="H17" s="356"/>
      <c r="I17" s="356"/>
      <c r="J17" s="356"/>
      <c r="K17" s="356"/>
    </row>
    <row r="18" spans="1:11" ht="15.75">
      <c r="A18" s="517"/>
      <c r="B18" s="518"/>
      <c r="C18" s="518"/>
      <c r="D18" s="518"/>
    </row>
    <row r="19" spans="1:11">
      <c r="B19" t="s">
        <v>91</v>
      </c>
    </row>
  </sheetData>
  <customSheetViews>
    <customSheetView guid="{B1076A3F-74CA-4685-9B64-0249438E4A9A}" showPageBreaks="1" printArea="1" hiddenColumns="1" view="pageBreakPreview">
      <selection activeCell="C17" sqref="C17"/>
      <pageMargins left="0" right="0" top="0" bottom="0" header="0.511811023622047" footer="0.511811023622047"/>
      <printOptions horizontalCentered="1" verticalCentered="1"/>
      <pageSetup paperSize="9" scale="130" orientation="landscape"/>
      <headerFooter alignWithMargins="0"/>
    </customSheetView>
    <customSheetView guid="{789595AE-36A2-4B02-81C2-3D94932E7381}" showPageBreaks="1" printArea="1" hiddenColumns="1" view="pageBreakPreview">
      <selection activeCell="C17" sqref="C17"/>
      <pageMargins left="0" right="0" top="0" bottom="0" header="0.511811023622047" footer="0.511811023622047"/>
      <printOptions horizontalCentered="1" verticalCentered="1"/>
      <pageSetup paperSize="9" scale="130" orientation="landscape"/>
      <headerFooter alignWithMargins="0"/>
    </customSheetView>
  </customSheetViews>
  <mergeCells count="3">
    <mergeCell ref="A1:D1"/>
    <mergeCell ref="A2:D2"/>
    <mergeCell ref="A17:C17"/>
  </mergeCells>
  <printOptions horizontalCentered="1" verticalCentered="1"/>
  <pageMargins left="0" right="0" top="0" bottom="0" header="0.35433070866141703" footer="0.31496062992126"/>
  <pageSetup paperSize="9" scale="9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5"/>
  <sheetViews>
    <sheetView view="pageBreakPreview" topLeftCell="A16" zoomScaleNormal="100" workbookViewId="0">
      <selection activeCell="B24" sqref="B24"/>
    </sheetView>
  </sheetViews>
  <sheetFormatPr defaultColWidth="9.140625" defaultRowHeight="12.75"/>
  <cols>
    <col min="1" max="1" width="71.7109375" style="405" customWidth="1"/>
    <col min="2" max="2" width="22.42578125" style="799" customWidth="1"/>
    <col min="3" max="3" width="22.5703125" style="799" customWidth="1"/>
    <col min="4" max="4" width="26.140625" style="799" customWidth="1"/>
    <col min="5" max="5" width="13.140625" style="799" customWidth="1"/>
    <col min="6" max="6" width="13.42578125" style="799" customWidth="1"/>
    <col min="7" max="7" width="16.5703125" style="799" customWidth="1"/>
    <col min="8" max="8" width="14.85546875" style="799" customWidth="1"/>
    <col min="9" max="16384" width="9.140625" style="799"/>
  </cols>
  <sheetData>
    <row r="1" spans="1:9" ht="19.5">
      <c r="A1" s="1446" t="s">
        <v>1910</v>
      </c>
      <c r="B1" s="1446"/>
      <c r="C1" s="1446"/>
      <c r="D1" s="1446"/>
    </row>
    <row r="2" spans="1:9" ht="19.5">
      <c r="A2" s="1446" t="s">
        <v>43</v>
      </c>
      <c r="B2" s="1446"/>
      <c r="C2" s="1446"/>
      <c r="D2" s="1446"/>
    </row>
    <row r="3" spans="1:9">
      <c r="A3" s="408"/>
      <c r="B3" s="408"/>
      <c r="C3" s="408"/>
      <c r="D3" s="408"/>
    </row>
    <row r="4" spans="1:9">
      <c r="A4" s="408"/>
      <c r="B4" s="1447" t="s">
        <v>68</v>
      </c>
      <c r="C4" s="1447"/>
      <c r="D4" s="408"/>
    </row>
    <row r="5" spans="1:9" s="857" customFormat="1" ht="28.5" customHeight="1">
      <c r="A5" s="574" t="s">
        <v>512</v>
      </c>
      <c r="B5" s="410" t="s">
        <v>6</v>
      </c>
      <c r="C5" s="428" t="s">
        <v>7</v>
      </c>
      <c r="D5" s="575"/>
      <c r="I5" s="799"/>
    </row>
    <row r="6" spans="1:9" ht="15">
      <c r="A6" s="415" t="s">
        <v>513</v>
      </c>
      <c r="B6" s="394"/>
      <c r="C6" s="392"/>
      <c r="D6" s="353"/>
    </row>
    <row r="7" spans="1:9" ht="15">
      <c r="A7" s="415" t="s">
        <v>514</v>
      </c>
      <c r="B7" s="394"/>
      <c r="C7" s="392"/>
      <c r="D7" s="353"/>
    </row>
    <row r="8" spans="1:9" ht="14.25">
      <c r="A8" s="807" t="s">
        <v>515</v>
      </c>
      <c r="B8" s="394">
        <v>587248</v>
      </c>
      <c r="C8" s="395">
        <v>2505492</v>
      </c>
      <c r="D8" s="353"/>
    </row>
    <row r="9" spans="1:9" ht="14.25">
      <c r="A9" s="807" t="s">
        <v>516</v>
      </c>
      <c r="B9" s="394">
        <v>4583891</v>
      </c>
      <c r="C9" s="395">
        <v>2736570</v>
      </c>
      <c r="D9" s="353"/>
    </row>
    <row r="10" spans="1:9" ht="14.25">
      <c r="A10" s="807" t="s">
        <v>517</v>
      </c>
      <c r="B10" s="394">
        <v>1133329</v>
      </c>
      <c r="C10" s="395">
        <v>957648</v>
      </c>
      <c r="D10" s="353"/>
    </row>
    <row r="11" spans="1:9" ht="14.25">
      <c r="A11" s="807" t="s">
        <v>518</v>
      </c>
      <c r="B11" s="394">
        <f>1279536+102130</f>
        <v>1381666</v>
      </c>
      <c r="C11" s="395">
        <v>107274</v>
      </c>
      <c r="D11" s="353"/>
    </row>
    <row r="12" spans="1:9" ht="14.25">
      <c r="A12" s="807" t="s">
        <v>519</v>
      </c>
      <c r="B12" s="394">
        <v>329500</v>
      </c>
      <c r="C12" s="395">
        <v>414887</v>
      </c>
      <c r="D12" s="353"/>
    </row>
    <row r="13" spans="1:9" ht="69" customHeight="1">
      <c r="A13" s="858" t="s">
        <v>520</v>
      </c>
      <c r="B13" s="394">
        <v>0</v>
      </c>
      <c r="C13" s="395">
        <v>0</v>
      </c>
      <c r="D13" s="353"/>
    </row>
    <row r="14" spans="1:9" ht="15">
      <c r="A14" s="415" t="s">
        <v>521</v>
      </c>
      <c r="B14" s="394"/>
      <c r="C14" s="395"/>
      <c r="D14" s="353"/>
    </row>
    <row r="15" spans="1:9" ht="14.25">
      <c r="A15" s="807" t="s">
        <v>522</v>
      </c>
      <c r="B15" s="394">
        <v>0</v>
      </c>
      <c r="C15" s="395">
        <v>0</v>
      </c>
      <c r="D15" s="353"/>
    </row>
    <row r="16" spans="1:9" ht="14.25">
      <c r="A16" s="807" t="s">
        <v>523</v>
      </c>
      <c r="B16" s="394">
        <v>0</v>
      </c>
      <c r="C16" s="395">
        <v>0</v>
      </c>
      <c r="D16" s="353"/>
    </row>
    <row r="17" spans="1:7" ht="15">
      <c r="A17" s="415" t="s">
        <v>524</v>
      </c>
      <c r="B17" s="394"/>
      <c r="C17" s="395"/>
      <c r="D17" s="353"/>
    </row>
    <row r="18" spans="1:7" ht="30">
      <c r="A18" s="854" t="s">
        <v>525</v>
      </c>
      <c r="B18" s="394">
        <v>255000</v>
      </c>
      <c r="C18" s="395">
        <v>255000</v>
      </c>
      <c r="D18" s="353"/>
      <c r="E18" s="783"/>
      <c r="G18" s="405"/>
    </row>
    <row r="19" spans="1:7" ht="15">
      <c r="A19" s="415" t="s">
        <v>526</v>
      </c>
      <c r="B19" s="394"/>
      <c r="C19" s="395"/>
      <c r="D19" s="353"/>
      <c r="E19" s="783"/>
      <c r="G19" s="405"/>
    </row>
    <row r="20" spans="1:7" ht="14.25">
      <c r="A20" s="807" t="s">
        <v>527</v>
      </c>
      <c r="B20" s="394"/>
      <c r="C20" s="395"/>
      <c r="D20" s="353"/>
      <c r="E20" s="783"/>
      <c r="G20" s="859"/>
    </row>
    <row r="21" spans="1:7" ht="14.25">
      <c r="A21" s="807" t="s">
        <v>528</v>
      </c>
      <c r="B21" s="394">
        <v>242018</v>
      </c>
      <c r="C21" s="395">
        <v>244370</v>
      </c>
      <c r="D21" s="353"/>
      <c r="E21" s="783"/>
      <c r="G21" s="859"/>
    </row>
    <row r="22" spans="1:7" ht="14.25">
      <c r="A22" s="807" t="s">
        <v>529</v>
      </c>
      <c r="B22" s="394">
        <v>0</v>
      </c>
      <c r="C22" s="395">
        <v>0</v>
      </c>
      <c r="D22" s="353"/>
      <c r="E22" s="783"/>
      <c r="G22" s="859"/>
    </row>
    <row r="23" spans="1:7" ht="14.25">
      <c r="A23" s="807" t="s">
        <v>530</v>
      </c>
      <c r="B23" s="394">
        <v>72700000</v>
      </c>
      <c r="C23" s="395">
        <v>42100000</v>
      </c>
      <c r="D23" s="353"/>
      <c r="E23" s="783"/>
      <c r="G23" s="859"/>
    </row>
    <row r="24" spans="1:7" ht="14.25">
      <c r="A24" s="807" t="s">
        <v>531</v>
      </c>
      <c r="B24" s="394">
        <v>1956326</v>
      </c>
      <c r="C24" s="395">
        <v>0</v>
      </c>
      <c r="D24" s="353"/>
      <c r="E24" s="783"/>
      <c r="G24" s="405"/>
    </row>
    <row r="25" spans="1:7" ht="15">
      <c r="A25" s="415" t="s">
        <v>532</v>
      </c>
      <c r="B25" s="394">
        <v>0</v>
      </c>
      <c r="C25" s="395">
        <v>0</v>
      </c>
      <c r="D25" s="353"/>
      <c r="E25" s="783"/>
    </row>
    <row r="26" spans="1:7" ht="15.75">
      <c r="A26" s="416" t="s">
        <v>32</v>
      </c>
      <c r="B26" s="417">
        <f>SUM(B8:B25)</f>
        <v>83168978</v>
      </c>
      <c r="C26" s="430">
        <f>SUM(C8:C25)</f>
        <v>49321241</v>
      </c>
      <c r="D26" s="353"/>
    </row>
    <row r="27" spans="1:7" ht="15.75">
      <c r="A27" s="800"/>
      <c r="B27" s="409"/>
      <c r="C27" s="409"/>
      <c r="D27" s="353"/>
    </row>
    <row r="28" spans="1:7" ht="15.75">
      <c r="A28" s="529" t="s">
        <v>533</v>
      </c>
      <c r="B28" s="342" t="s">
        <v>534</v>
      </c>
      <c r="C28" s="409"/>
      <c r="D28" s="353"/>
    </row>
    <row r="29" spans="1:7" ht="15.75">
      <c r="A29" s="529" t="s">
        <v>535</v>
      </c>
      <c r="B29" s="342"/>
      <c r="C29" s="409"/>
      <c r="D29" s="353"/>
    </row>
    <row r="30" spans="1:7" ht="15.75">
      <c r="A30" s="529" t="s">
        <v>536</v>
      </c>
      <c r="B30" s="342"/>
      <c r="C30" s="409"/>
      <c r="D30" s="353"/>
    </row>
    <row r="31" spans="1:7" ht="15.75">
      <c r="A31" s="800"/>
      <c r="B31" s="409"/>
      <c r="C31" s="409"/>
      <c r="D31" s="353"/>
    </row>
    <row r="32" spans="1:7">
      <c r="A32" s="409"/>
      <c r="B32" s="353"/>
      <c r="C32" s="353"/>
      <c r="D32" s="353"/>
    </row>
    <row r="33" spans="1:4" ht="5.25" customHeight="1">
      <c r="A33" s="409"/>
      <c r="B33" s="409"/>
      <c r="C33" s="353"/>
      <c r="D33" s="353"/>
    </row>
    <row r="34" spans="1:4">
      <c r="A34" s="409"/>
      <c r="B34" s="409"/>
      <c r="C34" s="355" t="s">
        <v>20</v>
      </c>
      <c r="D34" s="353"/>
    </row>
    <row r="35" spans="1:4">
      <c r="A35" s="409"/>
      <c r="B35" s="353"/>
      <c r="C35" s="353"/>
      <c r="D35" s="353"/>
    </row>
  </sheetData>
  <customSheetViews>
    <customSheetView guid="{B1076A3F-74CA-4685-9B64-0249438E4A9A}" scale="115" showPageBreaks="1" printArea="1" view="pageBreakPreview" topLeftCell="A13">
      <selection activeCell="A20" sqref="A20"/>
      <pageMargins left="0" right="0" top="0" bottom="0" header="0.511811023622047" footer="1.0629921259842501"/>
      <printOptions horizontalCentered="1" verticalCentered="1"/>
      <pageSetup paperSize="9" scale="115" orientation="landscape"/>
      <headerFooter alignWithMargins="0"/>
    </customSheetView>
    <customSheetView guid="{789595AE-36A2-4B02-81C2-3D94932E7381}" scale="115" showPageBreaks="1" printArea="1" view="pageBreakPreview" topLeftCell="A13">
      <selection activeCell="A20" sqref="A20"/>
      <pageMargins left="0" right="0" top="0" bottom="0" header="0.511811023622047" footer="1.0629921259842501"/>
      <printOptions horizontalCentered="1" verticalCentered="1"/>
      <pageSetup paperSize="9" scale="115" orientation="landscape"/>
      <headerFooter alignWithMargins="0"/>
    </customSheetView>
  </customSheetViews>
  <mergeCells count="3">
    <mergeCell ref="A1:D1"/>
    <mergeCell ref="A2:D2"/>
    <mergeCell ref="B4:C4"/>
  </mergeCells>
  <printOptions horizontalCentered="1" verticalCentered="1"/>
  <pageMargins left="0" right="0" top="0" bottom="0" header="0.35433070866141703" footer="0.31496062992126"/>
  <pageSetup paperSize="9" scale="9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69"/>
  <sheetViews>
    <sheetView view="pageBreakPreview" zoomScaleNormal="100" zoomScaleSheetLayoutView="100" workbookViewId="0">
      <selection activeCell="B49" sqref="B49"/>
    </sheetView>
  </sheetViews>
  <sheetFormatPr defaultColWidth="9.140625" defaultRowHeight="12.75"/>
  <cols>
    <col min="1" max="1" width="64" style="405" customWidth="1"/>
    <col min="2" max="2" width="21.5703125" style="406" customWidth="1"/>
    <col min="3" max="3" width="23" style="406" customWidth="1"/>
    <col min="4" max="4" width="17.140625" style="406" customWidth="1"/>
    <col min="5" max="5" width="19.140625" style="406" customWidth="1"/>
    <col min="6" max="9" width="9.140625" style="406"/>
    <col min="10" max="10" width="14.140625" style="406" customWidth="1"/>
    <col min="11" max="16384" width="9.140625" style="406"/>
  </cols>
  <sheetData>
    <row r="1" spans="1:3" ht="19.5">
      <c r="A1" s="1446" t="s">
        <v>1910</v>
      </c>
      <c r="B1" s="1446"/>
      <c r="C1" s="1446"/>
    </row>
    <row r="2" spans="1:3" ht="19.5">
      <c r="A2" s="1446" t="s">
        <v>43</v>
      </c>
      <c r="B2" s="1446"/>
      <c r="C2" s="1446"/>
    </row>
    <row r="3" spans="1:3">
      <c r="A3" s="409"/>
      <c r="B3" s="325"/>
      <c r="C3" s="573" t="s">
        <v>68</v>
      </c>
    </row>
    <row r="4" spans="1:3" s="403" customFormat="1" ht="22.5" customHeight="1">
      <c r="A4" s="574" t="s">
        <v>512</v>
      </c>
      <c r="B4" s="410" t="s">
        <v>6</v>
      </c>
      <c r="C4" s="428" t="s">
        <v>7</v>
      </c>
    </row>
    <row r="5" spans="1:3" ht="15">
      <c r="A5" s="415" t="s">
        <v>537</v>
      </c>
      <c r="B5" s="394"/>
      <c r="C5" s="395"/>
    </row>
    <row r="6" spans="1:3" ht="15">
      <c r="A6" s="415" t="s">
        <v>538</v>
      </c>
      <c r="B6" s="394"/>
      <c r="C6" s="395"/>
    </row>
    <row r="7" spans="1:3" ht="15">
      <c r="A7" s="807" t="s">
        <v>539</v>
      </c>
      <c r="B7" s="394">
        <v>0</v>
      </c>
      <c r="C7" s="395">
        <v>0</v>
      </c>
    </row>
    <row r="8" spans="1:3" ht="15">
      <c r="A8" s="807" t="s">
        <v>540</v>
      </c>
      <c r="B8" s="394">
        <v>0</v>
      </c>
      <c r="C8" s="395">
        <v>0</v>
      </c>
    </row>
    <row r="9" spans="1:3" ht="15">
      <c r="A9" s="415" t="s">
        <v>541</v>
      </c>
      <c r="B9" s="394"/>
      <c r="C9" s="395"/>
    </row>
    <row r="10" spans="1:3" ht="15">
      <c r="A10" s="807" t="s">
        <v>542</v>
      </c>
      <c r="B10" s="394">
        <v>0</v>
      </c>
      <c r="C10" s="395">
        <v>0</v>
      </c>
    </row>
    <row r="11" spans="1:3" ht="15">
      <c r="A11" s="807" t="s">
        <v>543</v>
      </c>
      <c r="B11" s="394">
        <v>0</v>
      </c>
      <c r="C11" s="395">
        <v>0</v>
      </c>
    </row>
    <row r="12" spans="1:3" ht="15">
      <c r="A12" s="807" t="s">
        <v>544</v>
      </c>
      <c r="B12" s="394">
        <v>0</v>
      </c>
      <c r="C12" s="395">
        <v>0</v>
      </c>
    </row>
    <row r="13" spans="1:3" ht="15">
      <c r="A13" s="807" t="s">
        <v>545</v>
      </c>
      <c r="B13" s="394">
        <v>0</v>
      </c>
      <c r="C13" s="395">
        <v>0</v>
      </c>
    </row>
    <row r="14" spans="1:3" ht="15">
      <c r="A14" s="807" t="s">
        <v>546</v>
      </c>
      <c r="B14" s="850">
        <v>191600</v>
      </c>
      <c r="C14" s="395">
        <v>148000</v>
      </c>
    </row>
    <row r="15" spans="1:3" ht="15">
      <c r="A15" s="807" t="s">
        <v>547</v>
      </c>
      <c r="B15" s="394">
        <v>464500</v>
      </c>
      <c r="C15" s="395">
        <v>56658</v>
      </c>
    </row>
    <row r="16" spans="1:3" ht="15">
      <c r="A16" s="807" t="s">
        <v>548</v>
      </c>
      <c r="B16" s="394">
        <v>0</v>
      </c>
      <c r="C16" s="395">
        <v>0</v>
      </c>
    </row>
    <row r="17" spans="1:6" ht="15">
      <c r="A17" s="807" t="s">
        <v>549</v>
      </c>
      <c r="B17" s="394">
        <v>0</v>
      </c>
      <c r="C17" s="395">
        <v>0</v>
      </c>
      <c r="F17" s="799"/>
    </row>
    <row r="18" spans="1:6" ht="15">
      <c r="A18" s="807" t="s">
        <v>550</v>
      </c>
      <c r="B18" s="394">
        <v>1246500</v>
      </c>
      <c r="C18" s="395">
        <v>189000</v>
      </c>
      <c r="F18" s="799"/>
    </row>
    <row r="19" spans="1:6" ht="15">
      <c r="A19" s="415" t="s">
        <v>551</v>
      </c>
      <c r="B19" s="394"/>
      <c r="C19" s="395"/>
      <c r="F19" s="799"/>
    </row>
    <row r="20" spans="1:6" ht="15">
      <c r="A20" s="807" t="s">
        <v>552</v>
      </c>
      <c r="B20" s="394">
        <f>6090148-1423956+1635000</f>
        <v>6301192</v>
      </c>
      <c r="C20" s="395">
        <v>6090148</v>
      </c>
    </row>
    <row r="21" spans="1:6" ht="15">
      <c r="A21" s="807" t="s">
        <v>553</v>
      </c>
      <c r="B21" s="394">
        <f>82588-29371</f>
        <v>53217</v>
      </c>
      <c r="C21" s="395">
        <v>82588</v>
      </c>
    </row>
    <row r="22" spans="1:6" ht="15">
      <c r="A22" s="807" t="s">
        <v>554</v>
      </c>
      <c r="B22" s="394">
        <v>0</v>
      </c>
      <c r="C22" s="395">
        <v>0</v>
      </c>
    </row>
    <row r="23" spans="1:6" ht="15">
      <c r="A23" s="807" t="s">
        <v>555</v>
      </c>
      <c r="B23" s="394">
        <f>3934591-666659+150000</f>
        <v>3417932</v>
      </c>
      <c r="C23" s="395">
        <v>3934591</v>
      </c>
    </row>
    <row r="24" spans="1:6" ht="35.25" customHeight="1">
      <c r="A24" s="851" t="s">
        <v>556</v>
      </c>
      <c r="B24" s="394"/>
      <c r="C24" s="395"/>
    </row>
    <row r="25" spans="1:6" ht="15">
      <c r="A25" s="852" t="e">
        <f>-          Advances to Supplies &amp; Services</f>
        <v>#NAME?</v>
      </c>
      <c r="B25" s="394">
        <f>'(35) Sch17'!G45+'Annx to Sch.18'!I22+'Annx to Sch.18'!D11+'Annx to Sch.18'!H11</f>
        <v>8062098</v>
      </c>
      <c r="C25" s="395">
        <v>27642486</v>
      </c>
    </row>
    <row r="26" spans="1:6" ht="15">
      <c r="A26" s="807" t="s">
        <v>557</v>
      </c>
      <c r="B26" s="394">
        <v>3191831</v>
      </c>
      <c r="C26" s="395">
        <v>706201</v>
      </c>
    </row>
    <row r="27" spans="1:6" ht="14.25">
      <c r="A27" s="807" t="s">
        <v>558</v>
      </c>
      <c r="B27" s="394">
        <v>8124305</v>
      </c>
      <c r="C27" s="395">
        <v>16717865</v>
      </c>
    </row>
    <row r="28" spans="1:6" ht="14.25">
      <c r="A28" s="807" t="s">
        <v>559</v>
      </c>
      <c r="B28" s="394">
        <v>15377218</v>
      </c>
      <c r="C28" s="395">
        <v>7076220</v>
      </c>
    </row>
    <row r="29" spans="1:6" ht="15">
      <c r="A29" s="1100" t="s">
        <v>560</v>
      </c>
      <c r="B29" s="394">
        <v>0</v>
      </c>
      <c r="C29" s="395">
        <v>0</v>
      </c>
    </row>
    <row r="30" spans="1:6" ht="15">
      <c r="A30" s="415" t="s">
        <v>561</v>
      </c>
      <c r="B30" s="394"/>
      <c r="C30" s="395"/>
    </row>
    <row r="31" spans="1:6" ht="15">
      <c r="A31" s="807" t="s">
        <v>562</v>
      </c>
      <c r="B31" s="394">
        <f>'Annx to Sch.18'!E21</f>
        <v>9791</v>
      </c>
      <c r="C31" s="395">
        <v>9782</v>
      </c>
    </row>
    <row r="32" spans="1:6" ht="15">
      <c r="A32" s="852" t="s">
        <v>563</v>
      </c>
      <c r="B32" s="394">
        <v>0</v>
      </c>
      <c r="C32" s="395">
        <v>0</v>
      </c>
    </row>
    <row r="33" spans="1:5" ht="15">
      <c r="A33" s="807" t="s">
        <v>564</v>
      </c>
      <c r="B33" s="394">
        <f>'Annx to Sch.18'!D21+'Annx to Sch.18'!G21</f>
        <v>89053</v>
      </c>
      <c r="C33" s="395">
        <v>87925</v>
      </c>
    </row>
    <row r="34" spans="1:5" ht="15">
      <c r="A34" s="415" t="s">
        <v>565</v>
      </c>
      <c r="B34" s="394"/>
      <c r="C34" s="395"/>
    </row>
    <row r="35" spans="1:5" ht="15">
      <c r="A35" s="807" t="s">
        <v>566</v>
      </c>
      <c r="B35" s="853">
        <v>0</v>
      </c>
      <c r="C35" s="395">
        <v>0</v>
      </c>
    </row>
    <row r="36" spans="1:5" ht="15">
      <c r="A36" s="807" t="s">
        <v>567</v>
      </c>
      <c r="B36" s="394">
        <v>0</v>
      </c>
      <c r="C36" s="395">
        <v>0</v>
      </c>
    </row>
    <row r="37" spans="1:5" ht="15">
      <c r="A37" s="807" t="s">
        <v>568</v>
      </c>
      <c r="B37" s="394">
        <v>0</v>
      </c>
      <c r="C37" s="395">
        <v>0</v>
      </c>
    </row>
    <row r="38" spans="1:5" ht="15">
      <c r="A38" s="807" t="s">
        <v>569</v>
      </c>
      <c r="B38" s="394">
        <v>0</v>
      </c>
      <c r="C38" s="395">
        <v>0</v>
      </c>
    </row>
    <row r="39" spans="1:5" ht="14.25">
      <c r="A39" s="807" t="s">
        <v>570</v>
      </c>
      <c r="B39" s="394">
        <v>0</v>
      </c>
      <c r="C39" s="395">
        <v>0</v>
      </c>
    </row>
    <row r="40" spans="1:5" ht="15">
      <c r="A40" s="807" t="s">
        <v>571</v>
      </c>
      <c r="B40" s="394">
        <v>400856</v>
      </c>
      <c r="C40" s="395">
        <v>400856</v>
      </c>
    </row>
    <row r="41" spans="1:5" ht="15">
      <c r="A41" s="415" t="s">
        <v>572</v>
      </c>
      <c r="B41" s="394"/>
      <c r="C41" s="395"/>
    </row>
    <row r="42" spans="1:5" ht="15">
      <c r="A42" s="807" t="s">
        <v>573</v>
      </c>
      <c r="B42" s="394">
        <v>0</v>
      </c>
      <c r="C42" s="395">
        <v>0</v>
      </c>
    </row>
    <row r="43" spans="1:5" ht="15">
      <c r="A43" s="1100" t="s">
        <v>574</v>
      </c>
      <c r="B43" s="394">
        <v>898458</v>
      </c>
      <c r="C43" s="395">
        <v>56455</v>
      </c>
      <c r="E43" s="406">
        <v>1547659</v>
      </c>
    </row>
    <row r="44" spans="1:5" ht="15">
      <c r="A44" s="807" t="s">
        <v>575</v>
      </c>
      <c r="B44" s="394">
        <f>'(31) Sch13'!B25</f>
        <v>4888319</v>
      </c>
      <c r="C44" s="395">
        <v>4361363</v>
      </c>
      <c r="E44" s="406">
        <v>5361730</v>
      </c>
    </row>
    <row r="45" spans="1:5" ht="15">
      <c r="A45" s="1100" t="s">
        <v>560</v>
      </c>
      <c r="B45" s="394">
        <v>0</v>
      </c>
      <c r="C45" s="395">
        <v>0</v>
      </c>
      <c r="E45" s="406">
        <f>SUM(E43:E44)</f>
        <v>6909389</v>
      </c>
    </row>
    <row r="46" spans="1:5" ht="123" customHeight="1">
      <c r="A46" s="854" t="s">
        <v>576</v>
      </c>
      <c r="B46" s="394">
        <v>6909389</v>
      </c>
      <c r="C46" s="395">
        <v>13224133</v>
      </c>
    </row>
    <row r="47" spans="1:5" ht="15.75">
      <c r="A47" s="855" t="s">
        <v>577</v>
      </c>
      <c r="B47" s="617">
        <f>SUM(B7:B46)</f>
        <v>59626259</v>
      </c>
      <c r="C47" s="618">
        <f>SUM(C7:C46)</f>
        <v>80784271</v>
      </c>
    </row>
    <row r="48" spans="1:5" s="405" customFormat="1" ht="15.75">
      <c r="A48" s="416" t="s">
        <v>145</v>
      </c>
      <c r="B48" s="399">
        <f>'(16) sch7'!B26+'(17) 7b'!B47</f>
        <v>142795237</v>
      </c>
      <c r="C48" s="399">
        <f>'(16) sch7'!C26+'(17) 7b'!C47</f>
        <v>130105512</v>
      </c>
    </row>
    <row r="49" spans="1:3" s="405" customFormat="1" ht="15.75">
      <c r="A49" s="1276"/>
      <c r="B49" s="1277"/>
      <c r="C49" s="1277"/>
    </row>
    <row r="50" spans="1:3">
      <c r="A50" s="409"/>
      <c r="B50" s="353"/>
      <c r="C50" s="353"/>
    </row>
    <row r="51" spans="1:3">
      <c r="A51" s="409"/>
      <c r="B51" s="409"/>
      <c r="C51" s="355" t="s">
        <v>20</v>
      </c>
    </row>
    <row r="52" spans="1:3">
      <c r="A52" s="409"/>
      <c r="B52" s="409"/>
      <c r="C52" s="856"/>
    </row>
    <row r="53" spans="1:3">
      <c r="A53" s="409"/>
      <c r="B53" s="353"/>
      <c r="C53" s="353"/>
    </row>
    <row r="54" spans="1:3">
      <c r="A54" s="409"/>
      <c r="B54" s="325"/>
      <c r="C54" s="325"/>
    </row>
    <row r="55" spans="1:3">
      <c r="A55" s="409"/>
      <c r="B55" s="325"/>
      <c r="C55" s="325"/>
    </row>
    <row r="69" spans="2:3">
      <c r="B69" s="405"/>
      <c r="C69" s="405"/>
    </row>
  </sheetData>
  <customSheetViews>
    <customSheetView guid="{B1076A3F-74CA-4685-9B64-0249438E4A9A}" showPageBreaks="1" printArea="1" view="pageBreakPreview" topLeftCell="A13">
      <selection activeCell="A47" sqref="A47"/>
      <pageMargins left="0" right="0" top="0" bottom="0" header="0.23622047244094499" footer="0.27559055118110198"/>
      <printOptions horizontalCentered="1" verticalCentered="1"/>
      <pageSetup paperSize="9" scale="72" orientation="landscape"/>
      <headerFooter alignWithMargins="0"/>
    </customSheetView>
    <customSheetView guid="{789595AE-36A2-4B02-81C2-3D94932E7381}" showPageBreaks="1" printArea="1" view="pageBreakPreview" topLeftCell="A13">
      <selection activeCell="A47" sqref="A47"/>
      <pageMargins left="0" right="0" top="0" bottom="0" header="0.23622047244094499" footer="0.27559055118110198"/>
      <printOptions horizontalCentered="1" verticalCentered="1"/>
      <pageSetup paperSize="9" scale="72" orientation="landscape"/>
      <headerFooter alignWithMargins="0"/>
    </customSheetView>
  </customSheetViews>
  <mergeCells count="2">
    <mergeCell ref="A1:C1"/>
    <mergeCell ref="A2:C2"/>
  </mergeCells>
  <printOptions horizontalCentered="1" verticalCentered="1"/>
  <pageMargins left="0" right="0" top="0" bottom="0" header="0.35433070866141703" footer="0.31496062992126"/>
  <pageSetup paperSize="9" scale="6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25"/>
  <sheetViews>
    <sheetView view="pageBreakPreview" zoomScale="70" zoomScaleNormal="60" workbookViewId="0">
      <selection activeCell="M24" sqref="M24"/>
    </sheetView>
  </sheetViews>
  <sheetFormatPr defaultColWidth="9.140625" defaultRowHeight="12.75"/>
  <cols>
    <col min="1" max="1" width="10.28515625" style="139" customWidth="1"/>
    <col min="2" max="2" width="28.7109375" style="139" customWidth="1"/>
    <col min="3" max="3" width="15" style="139" customWidth="1"/>
    <col min="4" max="4" width="26.7109375" style="139" customWidth="1"/>
    <col min="5" max="5" width="21.7109375" style="139" customWidth="1"/>
    <col min="6" max="7" width="16.140625" style="139" customWidth="1"/>
    <col min="8" max="8" width="21.42578125" style="139" customWidth="1"/>
    <col min="9" max="9" width="16.140625" style="139" customWidth="1"/>
    <col min="10" max="10" width="16" style="139" customWidth="1"/>
    <col min="11" max="11" width="21" style="139" customWidth="1"/>
    <col min="12" max="12" width="15.5703125" style="139" customWidth="1"/>
    <col min="13" max="13" width="16.5703125" style="139" customWidth="1"/>
    <col min="14" max="14" width="12" style="139" customWidth="1"/>
    <col min="15" max="15" width="16.42578125" style="139" hidden="1" customWidth="1"/>
    <col min="16" max="16384" width="9.140625" style="139"/>
  </cols>
  <sheetData>
    <row r="1" spans="1:18" ht="22.5">
      <c r="A1" s="737"/>
      <c r="B1" s="737"/>
      <c r="C1" s="737"/>
      <c r="D1" s="737"/>
      <c r="E1" s="737"/>
      <c r="F1" s="737"/>
      <c r="G1" s="737"/>
      <c r="H1" s="824"/>
      <c r="I1" s="737"/>
      <c r="J1" s="737"/>
      <c r="L1" s="737"/>
      <c r="M1" s="845" t="s">
        <v>578</v>
      </c>
    </row>
    <row r="2" spans="1:18" ht="27">
      <c r="A2" s="1464" t="s">
        <v>1910</v>
      </c>
      <c r="B2" s="1464"/>
      <c r="C2" s="1464"/>
      <c r="D2" s="1464"/>
      <c r="E2" s="1464"/>
      <c r="F2" s="1464"/>
      <c r="G2" s="1464"/>
      <c r="H2" s="1464"/>
      <c r="I2" s="1464"/>
      <c r="J2" s="1464"/>
      <c r="K2" s="1464"/>
      <c r="L2" s="825"/>
      <c r="M2" s="825"/>
      <c r="N2" s="846"/>
      <c r="O2" s="846"/>
      <c r="P2" s="846"/>
      <c r="Q2" s="846"/>
      <c r="R2" s="846"/>
    </row>
    <row r="3" spans="1:18" ht="27">
      <c r="A3" s="1464" t="s">
        <v>43</v>
      </c>
      <c r="B3" s="1464"/>
      <c r="C3" s="1464"/>
      <c r="D3" s="1464"/>
      <c r="E3" s="1464"/>
      <c r="F3" s="1464"/>
      <c r="G3" s="1464"/>
      <c r="H3" s="1464"/>
      <c r="I3" s="1464"/>
      <c r="J3" s="1464"/>
      <c r="K3" s="1464"/>
      <c r="L3" s="825"/>
      <c r="M3" s="825"/>
      <c r="N3" s="846"/>
      <c r="O3" s="846"/>
      <c r="P3" s="846"/>
      <c r="Q3" s="846"/>
      <c r="R3" s="846"/>
    </row>
    <row r="4" spans="1:18" ht="27" customHeight="1">
      <c r="A4" s="826" t="s">
        <v>579</v>
      </c>
      <c r="B4" s="827"/>
      <c r="C4" s="827"/>
      <c r="D4" s="827"/>
      <c r="E4" s="826"/>
      <c r="F4" s="826"/>
      <c r="G4" s="826"/>
      <c r="H4" s="740"/>
      <c r="I4" s="826"/>
      <c r="J4" s="826"/>
      <c r="K4" s="740"/>
      <c r="L4" s="826"/>
      <c r="M4" s="826"/>
      <c r="N4" s="23"/>
      <c r="O4" s="23"/>
    </row>
    <row r="5" spans="1:18" ht="33" customHeight="1">
      <c r="A5" s="1465" t="s">
        <v>580</v>
      </c>
      <c r="B5" s="1465"/>
      <c r="C5" s="1465"/>
      <c r="D5" s="1465"/>
      <c r="E5" s="1465"/>
      <c r="F5" s="1465"/>
      <c r="G5" s="1465"/>
      <c r="H5" s="1465"/>
      <c r="I5" s="1465"/>
      <c r="J5" s="1465"/>
      <c r="K5" s="1465"/>
      <c r="L5" s="828"/>
      <c r="M5" s="828"/>
      <c r="N5" s="846"/>
      <c r="O5" s="846"/>
      <c r="P5" s="846"/>
      <c r="Q5" s="846"/>
      <c r="R5" s="846"/>
    </row>
    <row r="6" spans="1:18" ht="21.75" customHeight="1">
      <c r="B6" s="829"/>
      <c r="C6" s="829"/>
      <c r="D6" s="829"/>
      <c r="E6" s="829"/>
      <c r="F6" s="829"/>
      <c r="G6" s="829"/>
      <c r="H6" s="829"/>
      <c r="I6" s="829"/>
      <c r="J6" s="829"/>
      <c r="K6" s="829"/>
      <c r="L6" s="1466" t="s">
        <v>3</v>
      </c>
      <c r="M6" s="1466"/>
      <c r="N6" s="847"/>
      <c r="O6" s="847"/>
    </row>
    <row r="7" spans="1:18" ht="69" customHeight="1">
      <c r="A7" s="830" t="s">
        <v>581</v>
      </c>
      <c r="B7" s="1467" t="s">
        <v>582</v>
      </c>
      <c r="C7" s="1468"/>
      <c r="D7" s="1469"/>
      <c r="E7" s="1470" t="s">
        <v>583</v>
      </c>
      <c r="F7" s="1471"/>
      <c r="G7" s="1472"/>
      <c r="H7" s="1470" t="s">
        <v>584</v>
      </c>
      <c r="I7" s="1471"/>
      <c r="J7" s="1472"/>
      <c r="K7" s="1470" t="s">
        <v>585</v>
      </c>
      <c r="L7" s="1471"/>
      <c r="M7" s="1472"/>
      <c r="N7" s="848"/>
    </row>
    <row r="8" spans="1:18" ht="18.75" customHeight="1">
      <c r="A8" s="831"/>
      <c r="B8" s="1458"/>
      <c r="C8" s="1459"/>
      <c r="D8" s="1460"/>
      <c r="E8" s="832" t="s">
        <v>586</v>
      </c>
      <c r="F8" s="832" t="s">
        <v>587</v>
      </c>
      <c r="G8" s="832" t="s">
        <v>12</v>
      </c>
      <c r="H8" s="832" t="s">
        <v>586</v>
      </c>
      <c r="I8" s="832" t="s">
        <v>587</v>
      </c>
      <c r="J8" s="832" t="s">
        <v>12</v>
      </c>
      <c r="K8" s="832" t="s">
        <v>586</v>
      </c>
      <c r="L8" s="832" t="s">
        <v>587</v>
      </c>
      <c r="M8" s="832" t="s">
        <v>12</v>
      </c>
      <c r="N8" s="848"/>
    </row>
    <row r="9" spans="1:18" ht="18.75" customHeight="1">
      <c r="A9" s="833" t="s">
        <v>588</v>
      </c>
      <c r="B9" s="1461" t="s">
        <v>589</v>
      </c>
      <c r="C9" s="1462"/>
      <c r="D9" s="1463"/>
      <c r="E9" s="834"/>
      <c r="F9" s="834"/>
      <c r="G9" s="834"/>
      <c r="H9" s="834"/>
      <c r="I9" s="834"/>
      <c r="J9" s="834"/>
      <c r="K9" s="834"/>
      <c r="L9" s="834"/>
      <c r="M9" s="834"/>
      <c r="N9" s="848"/>
    </row>
    <row r="10" spans="1:18" ht="18" customHeight="1">
      <c r="A10" s="835">
        <v>1</v>
      </c>
      <c r="B10" s="1452" t="s">
        <v>590</v>
      </c>
      <c r="C10" s="1453"/>
      <c r="D10" s="1454"/>
      <c r="E10" s="839"/>
      <c r="F10" s="839"/>
      <c r="G10" s="839"/>
      <c r="H10" s="840"/>
      <c r="I10" s="839"/>
      <c r="J10" s="839"/>
      <c r="K10" s="840"/>
      <c r="L10" s="839"/>
      <c r="M10" s="839"/>
    </row>
    <row r="11" spans="1:18" ht="18" customHeight="1">
      <c r="A11" s="835">
        <v>2</v>
      </c>
      <c r="B11" s="1452" t="s">
        <v>591</v>
      </c>
      <c r="C11" s="1453"/>
      <c r="D11" s="1454"/>
      <c r="E11" s="839">
        <f>217000+425000+401000+764000</f>
        <v>1807000</v>
      </c>
      <c r="F11" s="839"/>
      <c r="G11" s="839">
        <f>SUM(E11:F11)</f>
        <v>1807000</v>
      </c>
      <c r="H11" s="840">
        <f>E11-K11</f>
        <v>1564000</v>
      </c>
      <c r="I11" s="839"/>
      <c r="J11" s="839">
        <f>SUM(H11:I11)</f>
        <v>1564000</v>
      </c>
      <c r="K11" s="840">
        <v>243000</v>
      </c>
      <c r="L11" s="839"/>
      <c r="M11" s="839">
        <f>SUM(K11:L11)</f>
        <v>243000</v>
      </c>
    </row>
    <row r="12" spans="1:18" ht="18" customHeight="1">
      <c r="A12" s="835">
        <v>3</v>
      </c>
      <c r="B12" s="1452" t="s">
        <v>592</v>
      </c>
      <c r="C12" s="1453"/>
      <c r="D12" s="1454"/>
      <c r="E12" s="839">
        <f>961000+214000+560000+391000</f>
        <v>2126000</v>
      </c>
      <c r="F12" s="839"/>
      <c r="G12" s="839">
        <f t="shared" ref="G12:G14" si="0">SUM(E12:F12)</f>
        <v>2126000</v>
      </c>
      <c r="H12" s="840">
        <f t="shared" ref="H12:H20" si="1">E12-K12</f>
        <v>1661000</v>
      </c>
      <c r="I12" s="839"/>
      <c r="J12" s="839">
        <f t="shared" ref="J12:J15" si="2">SUM(H12:I12)</f>
        <v>1661000</v>
      </c>
      <c r="K12" s="840">
        <v>465000</v>
      </c>
      <c r="L12" s="839"/>
      <c r="M12" s="839">
        <f t="shared" ref="M12:M15" si="3">SUM(K12:L12)</f>
        <v>465000</v>
      </c>
    </row>
    <row r="13" spans="1:18" ht="18" customHeight="1">
      <c r="A13" s="835">
        <v>4</v>
      </c>
      <c r="B13" s="1452" t="s">
        <v>593</v>
      </c>
      <c r="C13" s="1453"/>
      <c r="D13" s="1454"/>
      <c r="E13" s="839">
        <f>392000+215000+1333000</f>
        <v>1940000</v>
      </c>
      <c r="F13" s="839"/>
      <c r="G13" s="839">
        <f t="shared" si="0"/>
        <v>1940000</v>
      </c>
      <c r="H13" s="840">
        <f t="shared" si="1"/>
        <v>693000</v>
      </c>
      <c r="I13" s="839"/>
      <c r="J13" s="839">
        <f t="shared" si="2"/>
        <v>693000</v>
      </c>
      <c r="K13" s="840">
        <v>1247000</v>
      </c>
      <c r="L13" s="839"/>
      <c r="M13" s="839">
        <f t="shared" si="3"/>
        <v>1247000</v>
      </c>
    </row>
    <row r="14" spans="1:18" ht="18" customHeight="1">
      <c r="A14" s="835">
        <v>5</v>
      </c>
      <c r="B14" s="1452" t="s">
        <v>594</v>
      </c>
      <c r="C14" s="1453"/>
      <c r="D14" s="1454"/>
      <c r="E14" s="839">
        <f>527000+1258000+2351000+5029000</f>
        <v>9165000</v>
      </c>
      <c r="F14" s="839"/>
      <c r="G14" s="839">
        <f t="shared" si="0"/>
        <v>9165000</v>
      </c>
      <c r="H14" s="840">
        <f t="shared" si="1"/>
        <v>7175000</v>
      </c>
      <c r="I14" s="839"/>
      <c r="J14" s="839">
        <f t="shared" si="2"/>
        <v>7175000</v>
      </c>
      <c r="K14" s="840">
        <v>1990000</v>
      </c>
      <c r="L14" s="839"/>
      <c r="M14" s="839">
        <f t="shared" si="3"/>
        <v>1990000</v>
      </c>
    </row>
    <row r="15" spans="1:18" ht="18" customHeight="1">
      <c r="A15" s="835"/>
      <c r="B15" s="1448" t="s">
        <v>32</v>
      </c>
      <c r="C15" s="1449"/>
      <c r="D15" s="1450"/>
      <c r="E15" s="839">
        <f>SUM(E11:E14)</f>
        <v>15038000</v>
      </c>
      <c r="F15" s="839">
        <f t="shared" ref="F15:G15" si="4">SUM(F11:F14)</f>
        <v>0</v>
      </c>
      <c r="G15" s="839">
        <f t="shared" si="4"/>
        <v>15038000</v>
      </c>
      <c r="H15" s="840">
        <f t="shared" si="1"/>
        <v>11093000</v>
      </c>
      <c r="I15" s="839"/>
      <c r="J15" s="839">
        <f t="shared" si="2"/>
        <v>11093000</v>
      </c>
      <c r="K15" s="840">
        <f>SUM(K11:K14)</f>
        <v>3945000</v>
      </c>
      <c r="L15" s="839"/>
      <c r="M15" s="839">
        <f t="shared" si="3"/>
        <v>3945000</v>
      </c>
    </row>
    <row r="16" spans="1:18" ht="45" customHeight="1">
      <c r="A16" s="835" t="s">
        <v>595</v>
      </c>
      <c r="B16" s="1455" t="s">
        <v>596</v>
      </c>
      <c r="C16" s="1456"/>
      <c r="D16" s="1457"/>
      <c r="E16" s="839"/>
      <c r="F16" s="839"/>
      <c r="G16" s="839"/>
      <c r="H16" s="840"/>
      <c r="I16" s="839"/>
      <c r="J16" s="839"/>
      <c r="K16" s="840"/>
      <c r="L16" s="839"/>
      <c r="M16" s="839"/>
    </row>
    <row r="17" spans="1:13" ht="18" customHeight="1">
      <c r="A17" s="835">
        <v>1</v>
      </c>
      <c r="B17" s="836" t="s">
        <v>597</v>
      </c>
      <c r="C17" s="837"/>
      <c r="D17" s="838">
        <f>SUM(D9:D16)</f>
        <v>0</v>
      </c>
      <c r="E17" s="139">
        <f>1235000+2087000+9000+974650</f>
        <v>4305650</v>
      </c>
      <c r="F17" s="839"/>
      <c r="G17" s="839">
        <f>SUM(E17:F17)</f>
        <v>4305650</v>
      </c>
      <c r="H17" s="840">
        <f t="shared" si="1"/>
        <v>3120000</v>
      </c>
      <c r="I17" s="839"/>
      <c r="J17" s="839">
        <f>SUM(H17:I17)</f>
        <v>3120000</v>
      </c>
      <c r="K17" s="840">
        <v>1185650</v>
      </c>
      <c r="L17" s="839"/>
      <c r="M17" s="839">
        <f>SUM(K17:L17)</f>
        <v>1185650</v>
      </c>
    </row>
    <row r="18" spans="1:13" ht="18" customHeight="1">
      <c r="A18" s="835">
        <v>2</v>
      </c>
      <c r="B18" s="836" t="s">
        <v>598</v>
      </c>
      <c r="C18" s="837"/>
      <c r="D18" s="838"/>
      <c r="E18" s="839">
        <f>4299000+4607350</f>
        <v>8906350</v>
      </c>
      <c r="F18" s="839"/>
      <c r="G18" s="839">
        <f t="shared" ref="G18:G20" si="5">SUM(E18:F18)</f>
        <v>8906350</v>
      </c>
      <c r="H18" s="840">
        <f t="shared" si="1"/>
        <v>0</v>
      </c>
      <c r="I18" s="839"/>
      <c r="J18" s="839">
        <f t="shared" ref="J18:J20" si="6">SUM(H18:I18)</f>
        <v>0</v>
      </c>
      <c r="K18" s="840">
        <v>8906350</v>
      </c>
      <c r="L18" s="839"/>
      <c r="M18" s="839">
        <f t="shared" ref="M18:M20" si="7">SUM(K18:L18)</f>
        <v>8906350</v>
      </c>
    </row>
    <row r="19" spans="1:13" ht="18" customHeight="1">
      <c r="A19" s="835">
        <v>3</v>
      </c>
      <c r="B19" s="836" t="s">
        <v>599</v>
      </c>
      <c r="C19" s="837"/>
      <c r="D19" s="838"/>
      <c r="E19" s="839">
        <f>2752000+3000000+5828000</f>
        <v>11580000</v>
      </c>
      <c r="F19" s="839"/>
      <c r="G19" s="839">
        <f t="shared" si="5"/>
        <v>11580000</v>
      </c>
      <c r="H19" s="840">
        <f t="shared" si="1"/>
        <v>1917000</v>
      </c>
      <c r="I19" s="839"/>
      <c r="J19" s="839">
        <f t="shared" si="6"/>
        <v>1917000</v>
      </c>
      <c r="K19" s="840">
        <v>9663000</v>
      </c>
      <c r="L19" s="839"/>
      <c r="M19" s="839">
        <f t="shared" si="7"/>
        <v>9663000</v>
      </c>
    </row>
    <row r="20" spans="1:13" ht="18" customHeight="1">
      <c r="A20" s="835"/>
      <c r="B20" s="1448" t="s">
        <v>41</v>
      </c>
      <c r="C20" s="1449"/>
      <c r="D20" s="1450"/>
      <c r="E20" s="840">
        <f>SUM(E17:E19)</f>
        <v>24792000</v>
      </c>
      <c r="F20" s="840"/>
      <c r="G20" s="839">
        <f t="shared" si="5"/>
        <v>24792000</v>
      </c>
      <c r="H20" s="840">
        <f t="shared" si="1"/>
        <v>5037000</v>
      </c>
      <c r="I20" s="840"/>
      <c r="J20" s="839">
        <f t="shared" si="6"/>
        <v>5037000</v>
      </c>
      <c r="K20" s="840">
        <f>SUM(K17:K19)</f>
        <v>19755000</v>
      </c>
      <c r="L20" s="840"/>
      <c r="M20" s="839">
        <f t="shared" si="7"/>
        <v>19755000</v>
      </c>
    </row>
    <row r="21" spans="1:13" ht="15.75" customHeight="1">
      <c r="A21" s="841"/>
      <c r="B21" s="1448" t="s">
        <v>600</v>
      </c>
      <c r="C21" s="1449"/>
      <c r="D21" s="1450"/>
      <c r="E21" s="840"/>
      <c r="F21" s="840"/>
      <c r="G21" s="840"/>
      <c r="H21" s="840"/>
      <c r="I21" s="840"/>
      <c r="J21" s="840"/>
      <c r="K21" s="840"/>
      <c r="L21" s="840"/>
      <c r="M21" s="840"/>
    </row>
    <row r="22" spans="1:13" ht="15.75" customHeight="1">
      <c r="A22" s="842"/>
      <c r="B22" s="843"/>
      <c r="C22" s="843"/>
      <c r="D22" s="843"/>
      <c r="E22" s="737"/>
      <c r="F22" s="737"/>
      <c r="G22" s="737"/>
      <c r="H22" s="737"/>
      <c r="I22" s="737"/>
      <c r="J22" s="737"/>
      <c r="K22" s="737"/>
      <c r="L22" s="737"/>
      <c r="M22" s="737"/>
    </row>
    <row r="23" spans="1:13" ht="15.75" customHeight="1">
      <c r="A23" s="842"/>
      <c r="B23" s="1451" t="s">
        <v>601</v>
      </c>
      <c r="C23" s="1451"/>
      <c r="D23" s="843"/>
      <c r="E23" s="737"/>
      <c r="F23" s="737"/>
      <c r="G23" s="737"/>
      <c r="H23" s="140"/>
      <c r="I23" s="737"/>
      <c r="J23" s="737"/>
      <c r="L23" s="737"/>
      <c r="M23" s="737"/>
    </row>
    <row r="24" spans="1:13" ht="19.5">
      <c r="A24" s="737"/>
      <c r="D24" s="737"/>
      <c r="E24" s="737"/>
      <c r="F24" s="737"/>
      <c r="G24" s="737"/>
      <c r="H24" s="737"/>
      <c r="I24" s="737"/>
      <c r="J24" s="737"/>
      <c r="M24" s="849" t="s">
        <v>20</v>
      </c>
    </row>
    <row r="25" spans="1:13">
      <c r="B25" s="844"/>
    </row>
  </sheetData>
  <mergeCells count="20">
    <mergeCell ref="A2:K2"/>
    <mergeCell ref="A3:K3"/>
    <mergeCell ref="A5:K5"/>
    <mergeCell ref="L6:M6"/>
    <mergeCell ref="B7:D7"/>
    <mergeCell ref="E7:G7"/>
    <mergeCell ref="H7:J7"/>
    <mergeCell ref="K7:M7"/>
    <mergeCell ref="B8:D8"/>
    <mergeCell ref="B9:D9"/>
    <mergeCell ref="B10:D10"/>
    <mergeCell ref="B11:D11"/>
    <mergeCell ref="B12:D12"/>
    <mergeCell ref="B21:D21"/>
    <mergeCell ref="B23:C23"/>
    <mergeCell ref="B13:D13"/>
    <mergeCell ref="B14:D14"/>
    <mergeCell ref="B15:D15"/>
    <mergeCell ref="B16:D16"/>
    <mergeCell ref="B20:D20"/>
  </mergeCells>
  <printOptions horizontalCentered="1" verticalCentered="1"/>
  <pageMargins left="0" right="0" top="0" bottom="0" header="0.35433070866141703" footer="0.31496062992126"/>
  <pageSetup paperSize="9" scale="6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18"/>
  <sheetViews>
    <sheetView tabSelected="1" view="pageBreakPreview" zoomScaleNormal="100" zoomScaleSheetLayoutView="100" workbookViewId="0">
      <selection activeCell="C11" sqref="C11"/>
    </sheetView>
  </sheetViews>
  <sheetFormatPr defaultColWidth="9" defaultRowHeight="12.75"/>
  <cols>
    <col min="1" max="1" width="6.5703125" customWidth="1"/>
    <col min="2" max="2" width="13.42578125" customWidth="1"/>
    <col min="3" max="3" width="16.7109375" customWidth="1"/>
    <col min="4" max="9" width="13.42578125" customWidth="1"/>
  </cols>
  <sheetData>
    <row r="1" spans="1:9">
      <c r="C1" t="s">
        <v>1910</v>
      </c>
      <c r="H1" s="1473" t="s">
        <v>602</v>
      </c>
      <c r="I1" s="1473"/>
    </row>
    <row r="2" spans="1:9">
      <c r="A2" s="1328" t="s">
        <v>603</v>
      </c>
      <c r="B2" s="1328"/>
      <c r="C2" s="1328"/>
      <c r="D2" s="1328"/>
      <c r="E2" s="1328"/>
      <c r="F2" s="1328"/>
      <c r="G2" s="1328"/>
      <c r="H2" s="1328"/>
      <c r="I2" s="1328"/>
    </row>
    <row r="4" spans="1:9">
      <c r="A4" s="1328" t="s">
        <v>604</v>
      </c>
      <c r="B4" s="1328"/>
      <c r="C4" s="1328"/>
      <c r="D4" s="1328"/>
      <c r="E4" s="1328"/>
      <c r="F4" s="1328"/>
      <c r="G4" s="1328"/>
      <c r="H4" s="1328"/>
      <c r="I4" s="1328"/>
    </row>
    <row r="6" spans="1:9" ht="63.75">
      <c r="A6" s="822" t="s">
        <v>605</v>
      </c>
      <c r="B6" s="822" t="s">
        <v>606</v>
      </c>
      <c r="C6" s="822" t="s">
        <v>607</v>
      </c>
      <c r="D6" s="822" t="s">
        <v>608</v>
      </c>
      <c r="E6" s="822" t="s">
        <v>609</v>
      </c>
      <c r="F6" s="822" t="s">
        <v>610</v>
      </c>
      <c r="G6" s="822" t="s">
        <v>611</v>
      </c>
      <c r="H6" s="822" t="s">
        <v>612</v>
      </c>
      <c r="I6" s="822" t="s">
        <v>613</v>
      </c>
    </row>
    <row r="7" spans="1:9" ht="24.75" customHeight="1">
      <c r="A7" s="18">
        <v>1</v>
      </c>
      <c r="B7" s="743">
        <v>10589078336</v>
      </c>
      <c r="C7" s="746" t="s">
        <v>614</v>
      </c>
      <c r="D7" s="823" t="s">
        <v>615</v>
      </c>
      <c r="E7" s="746" t="s">
        <v>616</v>
      </c>
      <c r="F7" s="1321">
        <v>12308070.390000001</v>
      </c>
      <c r="G7" s="1321">
        <v>242018</v>
      </c>
      <c r="H7" s="276" t="s">
        <v>617</v>
      </c>
      <c r="I7" s="276" t="s">
        <v>617</v>
      </c>
    </row>
    <row r="8" spans="1:9" ht="24.75" customHeight="1">
      <c r="A8" s="18">
        <v>2</v>
      </c>
      <c r="B8" s="18">
        <v>10672101082</v>
      </c>
      <c r="C8" s="743" t="s">
        <v>618</v>
      </c>
      <c r="D8" s="823" t="s">
        <v>615</v>
      </c>
      <c r="E8" s="18" t="s">
        <v>616</v>
      </c>
      <c r="F8" s="1321">
        <v>0</v>
      </c>
      <c r="G8" s="1321">
        <v>0</v>
      </c>
      <c r="H8" s="276" t="s">
        <v>617</v>
      </c>
      <c r="I8" s="276" t="s">
        <v>617</v>
      </c>
    </row>
    <row r="9" spans="1:9" ht="24.75" customHeight="1">
      <c r="A9" s="18">
        <v>3</v>
      </c>
      <c r="B9" s="18">
        <v>40927967206</v>
      </c>
      <c r="C9" s="276" t="s">
        <v>619</v>
      </c>
      <c r="D9" s="823" t="s">
        <v>615</v>
      </c>
      <c r="E9" s="18" t="s">
        <v>616</v>
      </c>
      <c r="F9" s="1321">
        <v>2117179</v>
      </c>
      <c r="G9" s="1321">
        <v>1956326</v>
      </c>
      <c r="H9" s="276" t="s">
        <v>617</v>
      </c>
      <c r="I9" s="276" t="s">
        <v>617</v>
      </c>
    </row>
    <row r="10" spans="1:9" ht="24.75" customHeight="1">
      <c r="A10" s="18"/>
      <c r="B10" s="18"/>
      <c r="C10" s="18"/>
      <c r="D10" s="18"/>
      <c r="E10" s="18"/>
      <c r="F10" s="18"/>
      <c r="G10" s="18"/>
      <c r="H10" s="18"/>
      <c r="I10" s="18"/>
    </row>
    <row r="11" spans="1:9" ht="24.75" customHeight="1">
      <c r="A11" s="1249"/>
      <c r="B11" s="1249"/>
      <c r="C11" s="1249"/>
      <c r="D11" s="1249"/>
      <c r="E11" s="1249"/>
      <c r="F11" s="1249"/>
      <c r="G11" s="1249"/>
      <c r="H11" s="1249"/>
      <c r="I11" s="1249"/>
    </row>
    <row r="13" spans="1:9">
      <c r="F13" t="s">
        <v>20</v>
      </c>
    </row>
    <row r="18" spans="4:4">
      <c r="D18">
        <f>SUM(D9:D17)</f>
        <v>0</v>
      </c>
    </row>
  </sheetData>
  <mergeCells count="3">
    <mergeCell ref="H1:I1"/>
    <mergeCell ref="A2:I2"/>
    <mergeCell ref="A4:I4"/>
  </mergeCells>
  <printOptions horizontalCentered="1" verticalCentered="1"/>
  <pageMargins left="0" right="0" top="0" bottom="0" header="0.35433070866141703" footer="0.31496062992126"/>
  <pageSetup paperSize="9"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6"/>
  <sheetViews>
    <sheetView view="pageBreakPreview" topLeftCell="A19" zoomScale="115" zoomScaleNormal="100" workbookViewId="0">
      <selection activeCell="C25" sqref="C25"/>
    </sheetView>
  </sheetViews>
  <sheetFormatPr defaultColWidth="9.140625" defaultRowHeight="12.75"/>
  <cols>
    <col min="1" max="1" width="39" style="405" customWidth="1"/>
    <col min="2" max="2" width="14.140625" style="406" customWidth="1"/>
    <col min="3" max="4" width="21" style="406" customWidth="1"/>
    <col min="5" max="5" width="19" style="406" customWidth="1"/>
    <col min="6" max="6" width="12.85546875" style="406" customWidth="1"/>
    <col min="7" max="8" width="9.140625" style="406"/>
    <col min="9" max="9" width="11" style="406" customWidth="1"/>
    <col min="10" max="16384" width="9.140625" style="406"/>
  </cols>
  <sheetData>
    <row r="1" spans="1:4" customFormat="1" ht="15.75">
      <c r="A1" s="1322" t="s">
        <v>1910</v>
      </c>
      <c r="B1" s="1323"/>
      <c r="C1" s="1323"/>
      <c r="D1" s="1323"/>
    </row>
    <row r="2" spans="1:4" ht="15.75">
      <c r="A2" s="1322" t="s">
        <v>21</v>
      </c>
      <c r="B2" s="1322"/>
      <c r="C2" s="1322"/>
      <c r="D2" s="1322"/>
    </row>
    <row r="3" spans="1:4" ht="15.75">
      <c r="A3" s="383"/>
      <c r="B3" s="383"/>
      <c r="C3" s="383"/>
      <c r="D3" s="383"/>
    </row>
    <row r="4" spans="1:4" s="405" customFormat="1" ht="18.75">
      <c r="A4" s="1332" t="s">
        <v>22</v>
      </c>
      <c r="B4" s="1332"/>
      <c r="C4" s="1332"/>
      <c r="D4" s="1332"/>
    </row>
    <row r="5" spans="1:4">
      <c r="A5" s="409"/>
      <c r="B5" s="353"/>
      <c r="C5" s="353"/>
      <c r="D5" s="353"/>
    </row>
    <row r="6" spans="1:4">
      <c r="A6" s="409"/>
      <c r="B6" s="353"/>
      <c r="C6" s="353"/>
      <c r="D6" s="1056" t="s">
        <v>3</v>
      </c>
    </row>
    <row r="7" spans="1:4" ht="27" customHeight="1">
      <c r="A7" s="1057" t="s">
        <v>23</v>
      </c>
      <c r="B7" s="1058" t="s">
        <v>5</v>
      </c>
      <c r="C7" s="1058" t="s">
        <v>6</v>
      </c>
      <c r="D7" s="1059" t="s">
        <v>7</v>
      </c>
    </row>
    <row r="8" spans="1:4" ht="19.5" customHeight="1">
      <c r="A8" s="1060" t="s">
        <v>24</v>
      </c>
      <c r="B8" s="1061">
        <v>8</v>
      </c>
      <c r="C8" s="1062">
        <f>+'(22) sch8'!B29</f>
        <v>7765978</v>
      </c>
      <c r="D8" s="1063">
        <f>+'(22) sch8'!C29</f>
        <v>4913291</v>
      </c>
    </row>
    <row r="9" spans="1:4" ht="21.75" customHeight="1">
      <c r="A9" s="415" t="s">
        <v>25</v>
      </c>
      <c r="B9" s="1064">
        <v>9</v>
      </c>
      <c r="C9" s="1065">
        <f>+'(23) Sch9 (FINAL)'!B32</f>
        <v>525631751</v>
      </c>
      <c r="D9" s="1066">
        <f>+'(23) Sch9 (FINAL)'!C32</f>
        <v>504919216</v>
      </c>
    </row>
    <row r="10" spans="1:4" ht="21" customHeight="1">
      <c r="A10" s="415" t="s">
        <v>26</v>
      </c>
      <c r="B10" s="1064">
        <v>10</v>
      </c>
      <c r="C10" s="1065">
        <f>+'(28) Sch10'!B20</f>
        <v>0</v>
      </c>
      <c r="D10" s="1066">
        <f>+'(28) Sch10'!C20</f>
        <v>0</v>
      </c>
    </row>
    <row r="11" spans="1:4" ht="21" customHeight="1">
      <c r="A11" s="415" t="s">
        <v>27</v>
      </c>
      <c r="B11" s="1064">
        <v>11</v>
      </c>
      <c r="C11" s="1065">
        <f>+'(29) Sch11'!D14</f>
        <v>0</v>
      </c>
      <c r="D11" s="1066">
        <f>+'(29) Sch11'!E14</f>
        <v>0</v>
      </c>
    </row>
    <row r="12" spans="1:4" ht="21" customHeight="1">
      <c r="A12" s="415" t="s">
        <v>28</v>
      </c>
      <c r="B12" s="1064">
        <v>12</v>
      </c>
      <c r="C12" s="1065">
        <f>+'(30) Sch12'!B12</f>
        <v>105690</v>
      </c>
      <c r="D12" s="1066">
        <f>+'(30) Sch12'!C12</f>
        <v>152425</v>
      </c>
    </row>
    <row r="13" spans="1:4" ht="19.5" customHeight="1">
      <c r="A13" s="415" t="s">
        <v>29</v>
      </c>
      <c r="B13" s="1064">
        <v>13</v>
      </c>
      <c r="C13" s="1065">
        <f>+'(31) Sch13'!B18</f>
        <v>1912387</v>
      </c>
      <c r="D13" s="1066">
        <f>+'(31) Sch13'!C18</f>
        <v>-3768601</v>
      </c>
    </row>
    <row r="14" spans="1:4" ht="21.75" customHeight="1">
      <c r="A14" s="415" t="s">
        <v>30</v>
      </c>
      <c r="B14" s="1064">
        <v>14</v>
      </c>
      <c r="C14" s="1065">
        <f>+'(32) Sch14'!B25</f>
        <v>5054347</v>
      </c>
      <c r="D14" s="1066">
        <f>+'(32) Sch14'!C25</f>
        <v>3530900</v>
      </c>
    </row>
    <row r="15" spans="1:4" ht="22.5" customHeight="1">
      <c r="A15" s="415" t="s">
        <v>31</v>
      </c>
      <c r="B15" s="1064">
        <v>15</v>
      </c>
      <c r="C15" s="1065">
        <f>+'(33) Sch15 '!B13</f>
        <v>0</v>
      </c>
      <c r="D15" s="1066">
        <f>+'(33) Sch15 '!C13</f>
        <v>0</v>
      </c>
    </row>
    <row r="16" spans="1:4" ht="24.75" customHeight="1">
      <c r="A16" s="855" t="s">
        <v>32</v>
      </c>
      <c r="B16" s="1067"/>
      <c r="C16" s="1068">
        <f>SUM(C8:C15)</f>
        <v>540470153</v>
      </c>
      <c r="D16" s="1069">
        <f>SUM(D8:D15)</f>
        <v>509747231</v>
      </c>
    </row>
    <row r="17" spans="1:5" ht="15.95" customHeight="1">
      <c r="A17" s="414"/>
      <c r="B17" s="1064"/>
      <c r="C17" s="927"/>
      <c r="D17" s="1070"/>
    </row>
    <row r="18" spans="1:5" s="499" customFormat="1" ht="27" customHeight="1">
      <c r="A18" s="855" t="s">
        <v>33</v>
      </c>
      <c r="B18" s="1064"/>
      <c r="C18" s="927"/>
      <c r="D18" s="1070"/>
      <c r="E18" s="406"/>
    </row>
    <row r="19" spans="1:5" ht="15.95" customHeight="1">
      <c r="A19" s="414"/>
      <c r="B19" s="1064"/>
      <c r="C19" s="927"/>
      <c r="D19" s="1070"/>
    </row>
    <row r="20" spans="1:5" ht="21" customHeight="1">
      <c r="A20" s="415" t="s">
        <v>34</v>
      </c>
      <c r="B20" s="1064">
        <v>16</v>
      </c>
      <c r="C20" s="1071">
        <f>+'(34) Sch16'!E18</f>
        <v>391106821</v>
      </c>
      <c r="D20" s="1071">
        <f>+'(34) Sch16'!F18</f>
        <v>374892593</v>
      </c>
    </row>
    <row r="21" spans="1:5" ht="20.25" customHeight="1">
      <c r="A21" s="415" t="s">
        <v>35</v>
      </c>
      <c r="B21" s="1064">
        <v>17</v>
      </c>
      <c r="C21" s="1071">
        <f>'(35) Sch17'!F35</f>
        <v>65098826</v>
      </c>
      <c r="D21" s="1071">
        <f>'(35) Sch17'!G35</f>
        <v>55138111</v>
      </c>
    </row>
    <row r="22" spans="1:5" ht="19.5" customHeight="1">
      <c r="A22" s="415" t="s">
        <v>36</v>
      </c>
      <c r="B22" s="1064">
        <v>18</v>
      </c>
      <c r="C22" s="1071">
        <f>+'(36) Sch18'!F46</f>
        <v>74941393</v>
      </c>
      <c r="D22" s="1071">
        <f>+'(36) Sch18'!G46</f>
        <v>67701637</v>
      </c>
    </row>
    <row r="23" spans="1:5" ht="20.25" customHeight="1">
      <c r="A23" s="415" t="s">
        <v>37</v>
      </c>
      <c r="B23" s="1064">
        <v>19</v>
      </c>
      <c r="C23" s="1071">
        <f>+'(37) Sch. 19'!D12</f>
        <v>0</v>
      </c>
      <c r="D23" s="1071">
        <f>+'(37) Sch. 19'!E12</f>
        <v>0</v>
      </c>
    </row>
    <row r="24" spans="1:5" ht="19.5" customHeight="1">
      <c r="A24" s="415" t="s">
        <v>38</v>
      </c>
      <c r="B24" s="1064">
        <v>20</v>
      </c>
      <c r="C24" s="1071">
        <f>+'(39) Sch20'!G22</f>
        <v>5499445</v>
      </c>
      <c r="D24" s="1071">
        <f>+'(39) Sch20'!H22</f>
        <v>2018233</v>
      </c>
    </row>
    <row r="25" spans="1:5" ht="22.5" customHeight="1">
      <c r="A25" s="415" t="s">
        <v>39</v>
      </c>
      <c r="B25" s="1064">
        <v>5</v>
      </c>
      <c r="C25" s="1071">
        <f>'(8) sch-5'!G48</f>
        <v>51291126.57</v>
      </c>
      <c r="D25" s="1071">
        <v>54362872</v>
      </c>
    </row>
    <row r="26" spans="1:5" ht="21" customHeight="1">
      <c r="A26" s="415" t="s">
        <v>40</v>
      </c>
      <c r="B26" s="1064">
        <v>21</v>
      </c>
      <c r="C26" s="1071">
        <f>+'(40) Sch21'!B13</f>
        <v>0</v>
      </c>
      <c r="D26" s="1071">
        <f>+'(40) Sch21'!C13</f>
        <v>0</v>
      </c>
    </row>
    <row r="27" spans="1:5" ht="21.75" customHeight="1">
      <c r="A27" s="415" t="s">
        <v>41</v>
      </c>
      <c r="B27" s="1067"/>
      <c r="C27" s="1072">
        <f>SUM(C20:C26)</f>
        <v>587937611.57000005</v>
      </c>
      <c r="D27" s="1073">
        <f>SUM(D20:D26)</f>
        <v>554113446</v>
      </c>
    </row>
    <row r="28" spans="1:5" ht="15.95" customHeight="1">
      <c r="A28" s="1335" t="s">
        <v>42</v>
      </c>
      <c r="B28" s="1337"/>
      <c r="C28" s="1339">
        <f>+C16-C27</f>
        <v>-47467458.570000052</v>
      </c>
      <c r="D28" s="1341">
        <f>+D16-D27</f>
        <v>-44366215</v>
      </c>
    </row>
    <row r="29" spans="1:5" ht="15.95" customHeight="1">
      <c r="A29" s="1336"/>
      <c r="B29" s="1338"/>
      <c r="C29" s="1340"/>
      <c r="D29" s="1342"/>
    </row>
    <row r="30" spans="1:5">
      <c r="A30" s="409"/>
      <c r="B30" s="1074"/>
      <c r="C30" s="353"/>
      <c r="D30" s="353"/>
    </row>
    <row r="31" spans="1:5">
      <c r="A31" s="409"/>
      <c r="B31" s="1074"/>
      <c r="C31" s="353"/>
      <c r="D31" s="353"/>
    </row>
    <row r="32" spans="1:5">
      <c r="A32" s="409"/>
      <c r="B32" s="1074"/>
      <c r="C32" s="353"/>
      <c r="D32" s="353"/>
    </row>
    <row r="33" spans="1:5">
      <c r="A33" s="409"/>
      <c r="B33" s="353"/>
      <c r="C33" s="353"/>
      <c r="D33" s="353"/>
    </row>
    <row r="34" spans="1:5">
      <c r="A34" s="1333" t="s">
        <v>20</v>
      </c>
      <c r="B34" s="1333"/>
      <c r="C34" s="1333"/>
      <c r="D34" s="1333"/>
      <c r="E34" s="354"/>
    </row>
    <row r="35" spans="1:5">
      <c r="A35" s="1075"/>
      <c r="B35" s="1076"/>
      <c r="D35" s="1077"/>
    </row>
    <row r="36" spans="1:5">
      <c r="A36" s="1078"/>
      <c r="B36" s="1078"/>
      <c r="C36" s="1334"/>
      <c r="D36" s="1334"/>
    </row>
  </sheetData>
  <customSheetViews>
    <customSheetView guid="{B1076A3F-74CA-4685-9B64-0249438E4A9A}" scale="115" showPageBreaks="1" printArea="1" view="pageBreakPreview" topLeftCell="A16">
      <selection activeCell="B23" sqref="B23"/>
      <pageMargins left="0" right="0" top="0" bottom="0" header="0.31496062992126" footer="0.511811023622047"/>
      <printOptions horizontalCentered="1" verticalCentered="1"/>
      <pageSetup paperSize="9" scale="90" orientation="landscape"/>
      <headerFooter alignWithMargins="0"/>
    </customSheetView>
    <customSheetView guid="{789595AE-36A2-4B02-81C2-3D94932E7381}" scale="115" showPageBreaks="1" printArea="1" view="pageBreakPreview" topLeftCell="A16">
      <selection activeCell="B23" sqref="B23"/>
      <pageMargins left="0" right="0" top="0" bottom="0" header="0.31496062992126" footer="0.511811023622047"/>
      <printOptions horizontalCentered="1" verticalCentered="1"/>
      <pageSetup paperSize="9" scale="90" orientation="landscape"/>
      <headerFooter alignWithMargins="0"/>
    </customSheetView>
  </customSheetViews>
  <mergeCells count="9">
    <mergeCell ref="A1:D1"/>
    <mergeCell ref="A2:D2"/>
    <mergeCell ref="A4:D4"/>
    <mergeCell ref="A34:D34"/>
    <mergeCell ref="C36:D36"/>
    <mergeCell ref="A28:A29"/>
    <mergeCell ref="B28:B29"/>
    <mergeCell ref="C28:C29"/>
    <mergeCell ref="D28:D29"/>
  </mergeCells>
  <printOptions horizontalCentered="1" verticalCentered="1"/>
  <pageMargins left="0" right="0" top="0" bottom="0" header="0.35433070866141703" footer="0.31496062992126"/>
  <pageSetup paperSize="9" scale="91"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38"/>
  <sheetViews>
    <sheetView view="pageBreakPreview" zoomScale="130" zoomScaleNormal="100" workbookViewId="0">
      <selection activeCell="F29" sqref="F29"/>
    </sheetView>
  </sheetViews>
  <sheetFormatPr defaultColWidth="9" defaultRowHeight="12.75"/>
  <cols>
    <col min="1" max="1" width="7" customWidth="1"/>
    <col min="2" max="2" width="11" customWidth="1"/>
    <col min="4" max="4" width="11.28515625" customWidth="1"/>
    <col min="5" max="5" width="9.7109375" customWidth="1"/>
    <col min="6" max="6" width="11.140625" customWidth="1"/>
    <col min="7" max="7" width="11.85546875" customWidth="1"/>
    <col min="8" max="8" width="17.85546875" customWidth="1"/>
    <col min="9" max="9" width="14.7109375" customWidth="1"/>
  </cols>
  <sheetData>
    <row r="1" spans="1:9">
      <c r="B1" t="s">
        <v>1910</v>
      </c>
      <c r="H1" s="1473" t="s">
        <v>620</v>
      </c>
      <c r="I1" s="1473"/>
    </row>
    <row r="2" spans="1:9">
      <c r="A2" s="1328" t="s">
        <v>621</v>
      </c>
      <c r="B2" s="1328"/>
      <c r="C2" s="1328"/>
      <c r="D2" s="1328"/>
      <c r="E2" s="1328"/>
      <c r="F2" s="1328"/>
      <c r="G2" s="1328"/>
      <c r="H2" s="1328"/>
      <c r="I2" s="1328"/>
    </row>
    <row r="3" spans="1:9">
      <c r="A3" s="78"/>
      <c r="B3" s="78"/>
      <c r="C3" s="78"/>
      <c r="D3" s="78"/>
      <c r="E3" s="78"/>
      <c r="F3" s="78"/>
      <c r="G3" s="78"/>
      <c r="H3" s="78"/>
      <c r="I3" s="78"/>
    </row>
    <row r="5" spans="1:9" ht="120.75" customHeight="1">
      <c r="A5" s="822" t="s">
        <v>605</v>
      </c>
      <c r="B5" s="822" t="s">
        <v>622</v>
      </c>
      <c r="C5" s="822" t="s">
        <v>534</v>
      </c>
      <c r="D5" s="1474" t="s">
        <v>623</v>
      </c>
      <c r="E5" s="1475"/>
      <c r="F5" s="822" t="s">
        <v>29</v>
      </c>
      <c r="G5" s="822" t="s">
        <v>624</v>
      </c>
      <c r="H5" s="822" t="s">
        <v>625</v>
      </c>
      <c r="I5" s="822" t="s">
        <v>626</v>
      </c>
    </row>
    <row r="6" spans="1:9">
      <c r="A6" s="822"/>
      <c r="B6" s="822"/>
      <c r="C6" s="822"/>
      <c r="D6" s="822" t="s">
        <v>627</v>
      </c>
      <c r="E6" s="822" t="s">
        <v>628</v>
      </c>
      <c r="F6" s="822"/>
      <c r="G6" s="822"/>
      <c r="H6" s="822"/>
      <c r="I6" s="822"/>
    </row>
    <row r="7" spans="1:9">
      <c r="A7" s="1143">
        <v>1</v>
      </c>
      <c r="B7" s="822"/>
      <c r="C7" s="1143">
        <v>10000000</v>
      </c>
      <c r="D7" s="1143" t="s">
        <v>1700</v>
      </c>
      <c r="E7" s="1143" t="s">
        <v>1666</v>
      </c>
      <c r="F7" s="822"/>
      <c r="G7" s="18">
        <v>262378</v>
      </c>
      <c r="H7" s="822"/>
      <c r="I7" s="822"/>
    </row>
    <row r="8" spans="1:9">
      <c r="A8" s="1143">
        <v>2</v>
      </c>
      <c r="B8" s="822"/>
      <c r="C8" s="1143">
        <v>10000000</v>
      </c>
      <c r="D8" s="1143" t="s">
        <v>1700</v>
      </c>
      <c r="E8" s="1143" t="s">
        <v>1666</v>
      </c>
      <c r="F8" s="822"/>
      <c r="G8" s="18">
        <v>262378</v>
      </c>
      <c r="H8" s="822"/>
      <c r="I8" s="822"/>
    </row>
    <row r="9" spans="1:9">
      <c r="A9" s="1143">
        <v>3</v>
      </c>
      <c r="B9" s="1476" t="s">
        <v>1618</v>
      </c>
      <c r="C9" s="1109">
        <v>5000000</v>
      </c>
      <c r="D9" s="1109" t="s">
        <v>1625</v>
      </c>
      <c r="E9" s="276" t="s">
        <v>1699</v>
      </c>
      <c r="F9" s="18"/>
      <c r="G9" s="18">
        <v>87460</v>
      </c>
      <c r="H9" s="18"/>
      <c r="I9" s="18"/>
    </row>
    <row r="10" spans="1:9">
      <c r="A10" s="1143">
        <v>4</v>
      </c>
      <c r="B10" s="1476"/>
      <c r="C10" s="1109">
        <v>5000000</v>
      </c>
      <c r="D10" s="1109" t="s">
        <v>1625</v>
      </c>
      <c r="E10" s="276" t="s">
        <v>1699</v>
      </c>
      <c r="F10" s="18"/>
      <c r="G10" s="18">
        <v>87460</v>
      </c>
      <c r="H10" s="18"/>
      <c r="I10" s="18"/>
    </row>
    <row r="11" spans="1:9">
      <c r="A11" s="1143">
        <v>5</v>
      </c>
      <c r="B11" s="1476"/>
      <c r="C11" s="1109">
        <v>5000000</v>
      </c>
      <c r="D11" s="1109" t="s">
        <v>1625</v>
      </c>
      <c r="E11" s="276" t="s">
        <v>1699</v>
      </c>
      <c r="F11" s="18"/>
      <c r="G11" s="18">
        <v>87460</v>
      </c>
      <c r="H11" s="18"/>
      <c r="I11" s="18"/>
    </row>
    <row r="12" spans="1:9">
      <c r="A12" s="1143">
        <v>6</v>
      </c>
      <c r="B12" s="1476"/>
      <c r="C12" s="1109">
        <v>5000000</v>
      </c>
      <c r="D12" s="1109" t="s">
        <v>1625</v>
      </c>
      <c r="E12" s="276" t="s">
        <v>1699</v>
      </c>
      <c r="F12" s="18"/>
      <c r="G12" s="18">
        <v>87460</v>
      </c>
      <c r="H12" s="18"/>
      <c r="I12" s="18"/>
    </row>
    <row r="13" spans="1:9">
      <c r="A13" s="1143">
        <v>7</v>
      </c>
      <c r="B13" s="1476"/>
      <c r="C13" s="1109">
        <v>5000000</v>
      </c>
      <c r="D13" s="1109" t="s">
        <v>1623</v>
      </c>
      <c r="E13" s="276" t="s">
        <v>1699</v>
      </c>
      <c r="F13" s="18"/>
      <c r="G13" s="18">
        <v>43730</v>
      </c>
      <c r="H13" s="18"/>
      <c r="I13" s="18"/>
    </row>
    <row r="14" spans="1:9">
      <c r="A14" s="1143">
        <v>8</v>
      </c>
      <c r="B14" s="1476"/>
      <c r="C14" s="1109">
        <v>5000000</v>
      </c>
      <c r="D14" s="1109" t="s">
        <v>1623</v>
      </c>
      <c r="E14" s="276" t="s">
        <v>1699</v>
      </c>
      <c r="F14" s="18"/>
      <c r="G14" s="18">
        <v>43730</v>
      </c>
      <c r="H14" s="18"/>
      <c r="I14" s="18"/>
    </row>
    <row r="15" spans="1:9">
      <c r="A15" s="1143">
        <v>9</v>
      </c>
      <c r="B15" s="1476"/>
      <c r="C15" s="1109">
        <v>5000000</v>
      </c>
      <c r="D15" s="1109" t="s">
        <v>1624</v>
      </c>
      <c r="E15" s="276" t="s">
        <v>1699</v>
      </c>
      <c r="F15" s="18"/>
      <c r="G15" s="18">
        <v>65595</v>
      </c>
      <c r="H15" s="18"/>
      <c r="I15" s="18"/>
    </row>
    <row r="16" spans="1:9">
      <c r="A16" s="1143">
        <v>10</v>
      </c>
      <c r="B16" s="1476"/>
      <c r="C16" s="1109">
        <v>5000000</v>
      </c>
      <c r="D16" s="1109" t="s">
        <v>1621</v>
      </c>
      <c r="E16" s="276" t="s">
        <v>1699</v>
      </c>
      <c r="F16" s="18"/>
      <c r="G16" s="18">
        <v>65595</v>
      </c>
      <c r="H16" s="18"/>
      <c r="I16" s="18"/>
    </row>
    <row r="17" spans="1:9">
      <c r="A17" s="1143">
        <v>11</v>
      </c>
      <c r="B17" s="1476"/>
      <c r="C17" s="1109">
        <v>10000000</v>
      </c>
      <c r="D17" s="276" t="s">
        <v>1700</v>
      </c>
      <c r="E17" s="276" t="s">
        <v>1699</v>
      </c>
      <c r="F17" s="18"/>
      <c r="G17" s="18">
        <v>262378</v>
      </c>
      <c r="H17" s="18"/>
      <c r="I17" s="18"/>
    </row>
    <row r="18" spans="1:9">
      <c r="A18" s="1143">
        <v>12</v>
      </c>
      <c r="B18" s="1476"/>
      <c r="C18" s="18">
        <v>100000</v>
      </c>
      <c r="D18" s="1109" t="s">
        <v>1621</v>
      </c>
      <c r="E18" s="276" t="s">
        <v>1699</v>
      </c>
      <c r="F18" s="18"/>
      <c r="G18" s="18">
        <v>765</v>
      </c>
      <c r="H18" s="18"/>
      <c r="I18" s="18"/>
    </row>
    <row r="19" spans="1:9">
      <c r="A19" s="1143">
        <v>13</v>
      </c>
      <c r="B19" s="1476"/>
      <c r="C19" s="18">
        <v>100000</v>
      </c>
      <c r="D19" s="1109" t="s">
        <v>1621</v>
      </c>
      <c r="E19" s="276" t="s">
        <v>1699</v>
      </c>
      <c r="F19" s="18"/>
      <c r="G19" s="18">
        <v>765</v>
      </c>
      <c r="H19" s="18"/>
      <c r="I19" s="18"/>
    </row>
    <row r="20" spans="1:9">
      <c r="A20" s="1143">
        <v>14</v>
      </c>
      <c r="B20" s="1476"/>
      <c r="C20" s="18">
        <v>100000</v>
      </c>
      <c r="D20" s="1109" t="s">
        <v>1622</v>
      </c>
      <c r="E20" s="276" t="s">
        <v>1699</v>
      </c>
      <c r="F20" s="18"/>
      <c r="G20" s="18">
        <v>765</v>
      </c>
      <c r="H20" s="18"/>
      <c r="I20" s="18"/>
    </row>
    <row r="21" spans="1:9">
      <c r="A21" s="1143">
        <v>15</v>
      </c>
      <c r="B21" s="1476"/>
      <c r="C21" s="18">
        <v>100000</v>
      </c>
      <c r="D21" s="1109" t="s">
        <v>1622</v>
      </c>
      <c r="E21" s="276" t="s">
        <v>1699</v>
      </c>
      <c r="F21" s="18"/>
      <c r="G21" s="18">
        <v>765</v>
      </c>
      <c r="H21" s="18"/>
      <c r="I21" s="18"/>
    </row>
    <row r="22" spans="1:9">
      <c r="A22" s="1143">
        <v>16</v>
      </c>
      <c r="B22" s="1476"/>
      <c r="C22" s="18">
        <v>100000</v>
      </c>
      <c r="D22" s="1109" t="s">
        <v>1622</v>
      </c>
      <c r="E22" s="276" t="s">
        <v>1699</v>
      </c>
      <c r="F22" s="18"/>
      <c r="G22" s="18">
        <v>765</v>
      </c>
      <c r="H22" s="18"/>
      <c r="I22" s="18"/>
    </row>
    <row r="23" spans="1:9">
      <c r="A23" s="1143">
        <v>17</v>
      </c>
      <c r="B23" s="1476"/>
      <c r="C23" s="18">
        <v>100000</v>
      </c>
      <c r="D23" s="1109" t="s">
        <v>1622</v>
      </c>
      <c r="E23" s="276" t="s">
        <v>1699</v>
      </c>
      <c r="F23" s="18"/>
      <c r="G23" s="18">
        <v>765</v>
      </c>
      <c r="H23" s="18"/>
      <c r="I23" s="18"/>
    </row>
    <row r="24" spans="1:9">
      <c r="A24" s="1143">
        <v>19</v>
      </c>
      <c r="B24" s="18"/>
      <c r="C24" s="18">
        <v>1600000</v>
      </c>
      <c r="D24" s="1109" t="s">
        <v>1619</v>
      </c>
      <c r="E24" s="276" t="s">
        <v>1699</v>
      </c>
      <c r="F24" s="18"/>
      <c r="G24" s="18">
        <v>48000</v>
      </c>
      <c r="H24" s="18"/>
      <c r="I24" s="18"/>
    </row>
    <row r="25" spans="1:9">
      <c r="A25" s="1143">
        <v>20</v>
      </c>
      <c r="B25" s="18"/>
      <c r="C25" s="18">
        <v>500000</v>
      </c>
      <c r="D25" s="1109" t="s">
        <v>1620</v>
      </c>
      <c r="E25" s="276" t="s">
        <v>1699</v>
      </c>
      <c r="F25" s="18"/>
      <c r="G25" s="18">
        <v>15000</v>
      </c>
      <c r="H25" s="18"/>
      <c r="I25" s="18"/>
    </row>
    <row r="26" spans="1:9">
      <c r="A26" s="18"/>
      <c r="B26" s="1110" t="s">
        <v>491</v>
      </c>
      <c r="C26" s="1110">
        <f>SUM(C7:C25)</f>
        <v>72700000</v>
      </c>
      <c r="D26" s="18"/>
      <c r="E26" s="18"/>
      <c r="F26" s="18"/>
      <c r="G26" s="18">
        <f>SUM(G9:G25)</f>
        <v>898458</v>
      </c>
      <c r="H26" s="18"/>
      <c r="I26" s="18"/>
    </row>
    <row r="27" spans="1:9">
      <c r="B27" s="1111"/>
    </row>
    <row r="29" spans="1:9">
      <c r="A29" s="1249"/>
      <c r="B29" s="1249"/>
      <c r="C29" s="1249"/>
      <c r="D29" s="1249"/>
      <c r="E29" s="1249"/>
      <c r="F29" t="s">
        <v>20</v>
      </c>
      <c r="G29" s="1249"/>
      <c r="H29" s="1249"/>
      <c r="I29" s="1249"/>
    </row>
    <row r="30" spans="1:9">
      <c r="A30" s="1249"/>
      <c r="B30" s="1249"/>
      <c r="C30" s="1249"/>
      <c r="D30" s="1249"/>
      <c r="E30" s="1249"/>
      <c r="F30" s="1249"/>
      <c r="G30" s="1249"/>
      <c r="H30" s="1249"/>
      <c r="I30" s="1249"/>
    </row>
    <row r="38" spans="4:4">
      <c r="D38">
        <f>SUM(D30:D37)</f>
        <v>0</v>
      </c>
    </row>
  </sheetData>
  <mergeCells count="4">
    <mergeCell ref="H1:I1"/>
    <mergeCell ref="A2:I2"/>
    <mergeCell ref="D5:E5"/>
    <mergeCell ref="B9:B23"/>
  </mergeCells>
  <printOptions horizontalCentered="1" verticalCentered="1"/>
  <pageMargins left="0" right="0" top="0" bottom="0" header="0.35433070866141703" footer="0.31496062992126"/>
  <pageSetup paperSize="9" scale="9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17"/>
  <sheetViews>
    <sheetView view="pageBreakPreview" zoomScale="115" zoomScaleNormal="130" workbookViewId="0">
      <selection activeCell="B16" sqref="B16"/>
    </sheetView>
  </sheetViews>
  <sheetFormatPr defaultColWidth="9.140625" defaultRowHeight="15.75"/>
  <cols>
    <col min="1" max="1" width="5.140625" style="817" customWidth="1"/>
    <col min="2" max="2" width="58.85546875" style="817" customWidth="1"/>
    <col min="3" max="3" width="21.140625" style="817" customWidth="1"/>
    <col min="4" max="4" width="10.28515625" style="817" customWidth="1"/>
    <col min="5" max="16384" width="9.140625" style="817"/>
  </cols>
  <sheetData>
    <row r="1" spans="1:3">
      <c r="A1" s="1478" t="s">
        <v>629</v>
      </c>
      <c r="B1" s="1478"/>
      <c r="C1" s="1478"/>
    </row>
    <row r="2" spans="1:3" ht="24.75" customHeight="1">
      <c r="A2" s="1479" t="s">
        <v>1910</v>
      </c>
      <c r="B2" s="1479"/>
      <c r="C2" s="1479"/>
    </row>
    <row r="3" spans="1:3" ht="17.25">
      <c r="A3" s="1479" t="s">
        <v>630</v>
      </c>
      <c r="B3" s="1479"/>
      <c r="C3" s="1479"/>
    </row>
    <row r="4" spans="1:3" ht="17.25">
      <c r="A4" s="156"/>
      <c r="B4" s="156"/>
      <c r="C4" s="156"/>
    </row>
    <row r="5" spans="1:3" ht="67.5" customHeight="1">
      <c r="A5" s="1480" t="s">
        <v>631</v>
      </c>
      <c r="B5" s="1480"/>
      <c r="C5" s="1480"/>
    </row>
    <row r="6" spans="1:3">
      <c r="C6" s="818" t="s">
        <v>632</v>
      </c>
    </row>
    <row r="7" spans="1:3" ht="28.5" customHeight="1">
      <c r="A7" s="1481" t="s">
        <v>605</v>
      </c>
      <c r="B7" s="1481" t="s">
        <v>633</v>
      </c>
      <c r="C7" s="1481" t="s">
        <v>534</v>
      </c>
    </row>
    <row r="8" spans="1:3" ht="28.5" hidden="1" customHeight="1">
      <c r="A8" s="1482"/>
      <c r="B8" s="1483"/>
      <c r="C8" s="1482"/>
    </row>
    <row r="9" spans="1:3" s="816" customFormat="1">
      <c r="A9" s="189">
        <v>1</v>
      </c>
      <c r="B9" s="189">
        <v>2</v>
      </c>
      <c r="C9" s="189">
        <v>3</v>
      </c>
    </row>
    <row r="10" spans="1:3">
      <c r="A10" s="194">
        <v>1</v>
      </c>
      <c r="B10" s="364" t="s">
        <v>634</v>
      </c>
      <c r="C10" s="819">
        <v>2500000</v>
      </c>
    </row>
    <row r="11" spans="1:3">
      <c r="A11" s="194">
        <v>2</v>
      </c>
      <c r="B11" s="364" t="s">
        <v>635</v>
      </c>
      <c r="C11" s="819"/>
    </row>
    <row r="12" spans="1:3">
      <c r="A12" s="194">
        <v>3</v>
      </c>
      <c r="B12" s="364" t="s">
        <v>636</v>
      </c>
      <c r="C12" s="819">
        <v>51400000</v>
      </c>
    </row>
    <row r="13" spans="1:3">
      <c r="A13" s="194">
        <v>4</v>
      </c>
      <c r="B13" s="365" t="s">
        <v>637</v>
      </c>
      <c r="C13" s="819">
        <v>3800000</v>
      </c>
    </row>
    <row r="14" spans="1:3">
      <c r="A14" s="820">
        <v>5</v>
      </c>
      <c r="B14" s="820" t="s">
        <v>638</v>
      </c>
      <c r="C14" s="820">
        <v>15000000</v>
      </c>
    </row>
    <row r="15" spans="1:3">
      <c r="A15" s="820"/>
      <c r="B15" s="821" t="s">
        <v>491</v>
      </c>
      <c r="C15" s="820">
        <f>SUM(C10:C14)</f>
        <v>72700000</v>
      </c>
    </row>
    <row r="17" spans="2:3">
      <c r="B17" s="1477" t="s">
        <v>20</v>
      </c>
      <c r="C17" s="1477"/>
    </row>
  </sheetData>
  <mergeCells count="8">
    <mergeCell ref="B17:C17"/>
    <mergeCell ref="A1:C1"/>
    <mergeCell ref="A2:C2"/>
    <mergeCell ref="A3:C3"/>
    <mergeCell ref="A5:C5"/>
    <mergeCell ref="A7:A8"/>
    <mergeCell ref="B7:B8"/>
    <mergeCell ref="C7:C8"/>
  </mergeCells>
  <printOptions horizontalCentered="1" verticalCentered="1"/>
  <pageMargins left="0" right="0" top="0" bottom="0" header="0.35433070866141703" footer="0.31496062992126"/>
  <pageSetup paperSize="9" scale="9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32"/>
  <sheetViews>
    <sheetView view="pageBreakPreview" topLeftCell="A13" zoomScaleNormal="100" workbookViewId="0">
      <selection activeCell="B30" sqref="B30"/>
    </sheetView>
  </sheetViews>
  <sheetFormatPr defaultColWidth="9.140625" defaultRowHeight="12.75"/>
  <cols>
    <col min="1" max="1" width="48.85546875" style="405" customWidth="1"/>
    <col min="2" max="2" width="26.42578125" style="406" customWidth="1"/>
    <col min="3" max="3" width="23.7109375" style="406" customWidth="1"/>
    <col min="4" max="4" width="12" style="406" customWidth="1"/>
    <col min="5" max="5" width="17" style="406" customWidth="1"/>
    <col min="6" max="6" width="4.85546875" style="406" customWidth="1"/>
    <col min="7" max="16384" width="9.140625" style="406"/>
  </cols>
  <sheetData>
    <row r="1" spans="1:29" ht="19.5">
      <c r="A1" s="1446" t="s">
        <v>1910</v>
      </c>
      <c r="B1" s="1446"/>
      <c r="C1" s="1446"/>
      <c r="D1" s="498"/>
      <c r="E1" s="799"/>
    </row>
    <row r="2" spans="1:29" ht="19.5">
      <c r="A2" s="1446" t="s">
        <v>630</v>
      </c>
      <c r="B2" s="1446"/>
      <c r="C2" s="1446"/>
      <c r="D2" s="498"/>
      <c r="E2" s="799"/>
    </row>
    <row r="3" spans="1:29">
      <c r="A3" s="409"/>
      <c r="B3" s="353"/>
      <c r="C3" s="353"/>
      <c r="D3" s="799"/>
      <c r="E3" s="799"/>
    </row>
    <row r="4" spans="1:29" ht="39.75" customHeight="1">
      <c r="A4" s="1484" t="s">
        <v>639</v>
      </c>
      <c r="B4" s="1484"/>
      <c r="C4" s="1484"/>
      <c r="D4" s="799"/>
      <c r="E4" s="799"/>
    </row>
    <row r="5" spans="1:29">
      <c r="A5" s="572"/>
      <c r="B5" s="353"/>
      <c r="C5" s="353"/>
      <c r="D5" s="799"/>
      <c r="E5" s="799"/>
    </row>
    <row r="6" spans="1:29" ht="15.75">
      <c r="A6" s="800"/>
      <c r="B6" s="1485" t="s">
        <v>68</v>
      </c>
      <c r="C6" s="1485"/>
    </row>
    <row r="7" spans="1:29" s="403" customFormat="1" ht="30">
      <c r="A7" s="801" t="s">
        <v>640</v>
      </c>
      <c r="B7" s="802" t="s">
        <v>6</v>
      </c>
      <c r="C7" s="803" t="s">
        <v>7</v>
      </c>
      <c r="D7" s="499"/>
      <c r="E7" s="499"/>
      <c r="F7" s="406"/>
      <c r="G7" s="406"/>
      <c r="H7" s="406"/>
      <c r="I7" s="406"/>
      <c r="J7" s="406"/>
      <c r="K7" s="406"/>
      <c r="L7" s="406"/>
      <c r="M7" s="406"/>
      <c r="N7" s="406"/>
      <c r="O7" s="406"/>
      <c r="P7" s="406"/>
      <c r="Q7" s="406"/>
      <c r="R7" s="406"/>
      <c r="S7" s="406"/>
      <c r="T7" s="406"/>
      <c r="U7" s="406"/>
      <c r="V7" s="406"/>
      <c r="W7" s="406"/>
      <c r="X7" s="406"/>
      <c r="Y7" s="406"/>
      <c r="Z7" s="406"/>
      <c r="AA7" s="406"/>
      <c r="AB7" s="406"/>
      <c r="AC7" s="406"/>
    </row>
    <row r="8" spans="1:29" ht="19.5">
      <c r="A8" s="804" t="s">
        <v>641</v>
      </c>
      <c r="B8" s="805"/>
      <c r="C8" s="806"/>
      <c r="D8" s="499"/>
      <c r="E8" s="499"/>
    </row>
    <row r="9" spans="1:29" ht="15">
      <c r="A9" s="807" t="s">
        <v>642</v>
      </c>
      <c r="B9" s="524">
        <v>4995</v>
      </c>
      <c r="C9" s="808">
        <v>560</v>
      </c>
      <c r="D9" s="499"/>
      <c r="E9" s="499"/>
    </row>
    <row r="10" spans="1:29" ht="15">
      <c r="A10" s="807" t="s">
        <v>643</v>
      </c>
      <c r="B10" s="524">
        <v>6400</v>
      </c>
      <c r="C10" s="808">
        <v>43940</v>
      </c>
      <c r="D10" s="499"/>
      <c r="E10" s="499"/>
    </row>
    <row r="11" spans="1:29" ht="15">
      <c r="A11" s="807" t="s">
        <v>644</v>
      </c>
      <c r="B11" s="524">
        <v>0</v>
      </c>
      <c r="C11" s="808">
        <v>0</v>
      </c>
      <c r="D11" s="499"/>
      <c r="E11" s="499"/>
    </row>
    <row r="12" spans="1:29" ht="15">
      <c r="A12" s="807" t="s">
        <v>645</v>
      </c>
      <c r="B12" s="524">
        <v>0</v>
      </c>
      <c r="C12" s="808">
        <v>0</v>
      </c>
      <c r="D12" s="499"/>
      <c r="E12" s="499"/>
    </row>
    <row r="13" spans="1:29" ht="15">
      <c r="A13" s="807" t="s">
        <v>646</v>
      </c>
      <c r="B13" s="524">
        <v>0</v>
      </c>
      <c r="C13" s="808">
        <v>0</v>
      </c>
      <c r="D13" s="499"/>
      <c r="E13" s="499"/>
    </row>
    <row r="14" spans="1:29" ht="15">
      <c r="A14" s="807" t="s">
        <v>647</v>
      </c>
      <c r="B14" s="524">
        <v>0</v>
      </c>
      <c r="C14" s="808">
        <v>0</v>
      </c>
      <c r="D14" s="499"/>
      <c r="E14" s="499"/>
    </row>
    <row r="15" spans="1:29" ht="15">
      <c r="A15" s="807" t="s">
        <v>648</v>
      </c>
      <c r="B15" s="524">
        <v>0</v>
      </c>
      <c r="C15" s="808">
        <v>0</v>
      </c>
      <c r="D15" s="499"/>
      <c r="E15" s="499"/>
    </row>
    <row r="16" spans="1:29" ht="15">
      <c r="A16" s="807" t="s">
        <v>649</v>
      </c>
      <c r="B16" s="524">
        <v>0</v>
      </c>
      <c r="C16" s="808">
        <v>0</v>
      </c>
      <c r="D16" s="499"/>
      <c r="E16" s="499"/>
    </row>
    <row r="17" spans="1:5" ht="15">
      <c r="A17" s="807" t="s">
        <v>650</v>
      </c>
      <c r="B17" s="524">
        <v>0</v>
      </c>
      <c r="C17" s="808">
        <v>0</v>
      </c>
      <c r="D17" s="499">
        <f>SUM(D9:D16)</f>
        <v>0</v>
      </c>
      <c r="E17" s="499"/>
    </row>
    <row r="18" spans="1:5" ht="15">
      <c r="A18" s="807" t="s">
        <v>651</v>
      </c>
      <c r="B18" s="524">
        <v>0</v>
      </c>
      <c r="C18" s="808">
        <v>0</v>
      </c>
      <c r="D18" s="499"/>
      <c r="E18" s="499"/>
    </row>
    <row r="19" spans="1:5" s="798" customFormat="1" ht="63" customHeight="1">
      <c r="A19" s="809" t="s">
        <v>652</v>
      </c>
      <c r="B19" s="810">
        <v>0</v>
      </c>
      <c r="C19" s="811">
        <v>0</v>
      </c>
      <c r="D19" s="812"/>
      <c r="E19" s="812"/>
    </row>
    <row r="20" spans="1:5" ht="19.5">
      <c r="A20" s="813" t="s">
        <v>653</v>
      </c>
      <c r="B20" s="524"/>
      <c r="C20" s="808"/>
      <c r="D20" s="499"/>
      <c r="E20" s="499"/>
    </row>
    <row r="21" spans="1:5" ht="15">
      <c r="A21" s="807" t="s">
        <v>654</v>
      </c>
      <c r="B21" s="524">
        <v>2601810</v>
      </c>
      <c r="C21" s="808">
        <v>389560</v>
      </c>
      <c r="D21" s="499"/>
      <c r="E21" s="499"/>
    </row>
    <row r="22" spans="1:5" ht="15">
      <c r="A22" s="807" t="s">
        <v>655</v>
      </c>
      <c r="B22" s="524">
        <v>169680</v>
      </c>
      <c r="C22" s="808">
        <v>0</v>
      </c>
      <c r="D22" s="499"/>
      <c r="E22" s="499"/>
    </row>
    <row r="23" spans="1:5" ht="15">
      <c r="A23" s="807" t="s">
        <v>656</v>
      </c>
      <c r="B23" s="524">
        <v>0</v>
      </c>
      <c r="C23" s="808">
        <v>42250</v>
      </c>
      <c r="D23" s="499"/>
      <c r="E23" s="499"/>
    </row>
    <row r="24" spans="1:5" ht="15">
      <c r="A24" s="807" t="s">
        <v>657</v>
      </c>
      <c r="B24" s="524">
        <v>0</v>
      </c>
      <c r="C24" s="808">
        <v>0</v>
      </c>
      <c r="D24" s="499"/>
      <c r="E24" s="499"/>
    </row>
    <row r="25" spans="1:5" ht="15">
      <c r="A25" s="807" t="s">
        <v>658</v>
      </c>
      <c r="B25" s="524">
        <v>4983093</v>
      </c>
      <c r="C25" s="808">
        <v>4436981</v>
      </c>
      <c r="D25" s="499"/>
      <c r="E25" s="499"/>
    </row>
    <row r="26" spans="1:5" ht="15">
      <c r="A26" s="807" t="s">
        <v>659</v>
      </c>
      <c r="B26" s="524">
        <v>0</v>
      </c>
      <c r="C26" s="808">
        <v>0</v>
      </c>
      <c r="D26" s="499"/>
      <c r="E26" s="499"/>
    </row>
    <row r="27" spans="1:5" ht="15">
      <c r="A27" s="807" t="s">
        <v>660</v>
      </c>
      <c r="B27" s="524">
        <v>0</v>
      </c>
      <c r="C27" s="808">
        <v>0</v>
      </c>
      <c r="D27" s="499"/>
      <c r="E27" s="499"/>
    </row>
    <row r="28" spans="1:5" ht="15">
      <c r="A28" s="807" t="s">
        <v>661</v>
      </c>
      <c r="B28" s="524">
        <v>0</v>
      </c>
      <c r="C28" s="808">
        <v>0</v>
      </c>
      <c r="D28" s="499"/>
      <c r="E28" s="499"/>
    </row>
    <row r="29" spans="1:5" ht="15.75">
      <c r="A29" s="814" t="s">
        <v>12</v>
      </c>
      <c r="B29" s="815">
        <f>SUM(B9:B28)</f>
        <v>7765978</v>
      </c>
      <c r="C29" s="815">
        <f>SUM(C9:C28)</f>
        <v>4913291</v>
      </c>
      <c r="D29" s="499"/>
      <c r="E29" s="499"/>
    </row>
    <row r="30" spans="1:5" ht="15.75">
      <c r="A30" s="1250"/>
      <c r="B30" s="1251"/>
      <c r="C30" s="1251"/>
      <c r="D30" s="499"/>
      <c r="E30" s="499"/>
    </row>
    <row r="31" spans="1:5">
      <c r="A31" s="409"/>
      <c r="B31" s="409"/>
      <c r="C31" s="325"/>
      <c r="D31" s="799"/>
      <c r="E31" s="799"/>
    </row>
    <row r="32" spans="1:5">
      <c r="A32" s="409"/>
      <c r="B32" s="409"/>
      <c r="C32" s="355" t="s">
        <v>20</v>
      </c>
      <c r="D32" s="799"/>
      <c r="E32" s="799"/>
    </row>
  </sheetData>
  <customSheetViews>
    <customSheetView guid="{B1076A3F-74CA-4685-9B64-0249438E4A9A}" scale="90" showPageBreaks="1" printArea="1" view="pageBreakPreview">
      <selection activeCell="A15" sqref="A15"/>
      <pageMargins left="0" right="0" top="0" bottom="0" header="0.511811023622047" footer="0.511811023622047"/>
      <printOptions horizontalCentered="1" verticalCentered="1"/>
      <pageSetup paperSize="9" scale="110" orientation="landscape"/>
      <headerFooter alignWithMargins="0"/>
    </customSheetView>
    <customSheetView guid="{789595AE-36A2-4B02-81C2-3D94932E7381}" scale="90" showPageBreaks="1" printArea="1" view="pageBreakPreview">
      <selection activeCell="A15" sqref="A15"/>
      <pageMargins left="0" right="0" top="0" bottom="0" header="0.511811023622047" footer="0.511811023622047"/>
      <printOptions horizontalCentered="1" verticalCentered="1"/>
      <pageSetup paperSize="9" scale="110" orientation="landscape"/>
      <headerFooter alignWithMargins="0"/>
    </customSheetView>
  </customSheetViews>
  <mergeCells count="4">
    <mergeCell ref="A1:C1"/>
    <mergeCell ref="A2:C2"/>
    <mergeCell ref="A4:C4"/>
    <mergeCell ref="B6:C6"/>
  </mergeCells>
  <printOptions horizontalCentered="1" verticalCentered="1"/>
  <pageMargins left="0" right="0" top="0" bottom="0" header="0.35433070866141703" footer="0.31496062992126"/>
  <pageSetup paperSize="9" scale="9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37"/>
  <sheetViews>
    <sheetView view="pageBreakPreview" topLeftCell="A4" zoomScale="115" zoomScaleNormal="100" workbookViewId="0">
      <selection activeCell="B33" sqref="B33"/>
    </sheetView>
  </sheetViews>
  <sheetFormatPr defaultColWidth="9" defaultRowHeight="12.75"/>
  <cols>
    <col min="1" max="1" width="56.28515625" style="380" customWidth="1"/>
    <col min="2" max="2" width="19.5703125" customWidth="1"/>
    <col min="3" max="3" width="23" customWidth="1"/>
    <col min="4" max="4" width="3.7109375" hidden="1" customWidth="1"/>
    <col min="5" max="5" width="23.5703125" style="592" customWidth="1"/>
    <col min="6" max="6" width="15.28515625" style="592" customWidth="1"/>
    <col min="7" max="7" width="23.140625" customWidth="1"/>
    <col min="8" max="8" width="15.7109375" customWidth="1"/>
    <col min="9" max="9" width="10.5703125" customWidth="1"/>
  </cols>
  <sheetData>
    <row r="1" spans="1:8" ht="15">
      <c r="A1" s="1405" t="s">
        <v>1910</v>
      </c>
      <c r="B1" s="1405"/>
      <c r="C1" s="1405"/>
      <c r="D1" s="1405"/>
      <c r="E1" s="766"/>
    </row>
    <row r="2" spans="1:8" ht="15">
      <c r="A2" s="1405" t="s">
        <v>630</v>
      </c>
      <c r="B2" s="1405"/>
      <c r="C2" s="1405"/>
      <c r="D2" s="1405"/>
      <c r="E2" s="766"/>
    </row>
    <row r="3" spans="1:8" ht="14.25">
      <c r="A3" s="767"/>
      <c r="B3" s="768"/>
      <c r="C3" s="769" t="s">
        <v>68</v>
      </c>
      <c r="D3" s="768"/>
      <c r="E3" s="766"/>
    </row>
    <row r="4" spans="1:8" s="639" customFormat="1" ht="30">
      <c r="A4" s="770" t="s">
        <v>662</v>
      </c>
      <c r="B4" s="771" t="s">
        <v>6</v>
      </c>
      <c r="C4" s="772" t="s">
        <v>7</v>
      </c>
      <c r="D4" s="773"/>
      <c r="E4" s="774"/>
      <c r="F4" s="775"/>
    </row>
    <row r="5" spans="1:8" ht="15">
      <c r="A5" s="776" t="s">
        <v>663</v>
      </c>
      <c r="B5" s="777"/>
      <c r="C5" s="778"/>
      <c r="D5" s="768"/>
      <c r="E5" s="766"/>
    </row>
    <row r="6" spans="1:8" ht="14.25">
      <c r="A6" s="779" t="s">
        <v>664</v>
      </c>
      <c r="B6" s="780">
        <v>646564</v>
      </c>
      <c r="C6" s="781">
        <v>5237350</v>
      </c>
      <c r="D6" s="768"/>
      <c r="E6" s="782"/>
      <c r="F6" s="783"/>
    </row>
    <row r="7" spans="1:8" ht="14.25">
      <c r="A7" s="779" t="s">
        <v>665</v>
      </c>
      <c r="B7" s="780">
        <v>553666384</v>
      </c>
      <c r="C7" s="781">
        <v>534477348</v>
      </c>
      <c r="D7" s="768"/>
      <c r="E7" s="782"/>
      <c r="F7" s="783"/>
    </row>
    <row r="8" spans="1:8" ht="14.25">
      <c r="A8" s="779" t="s">
        <v>666</v>
      </c>
      <c r="B8" s="780">
        <v>197535</v>
      </c>
      <c r="C8" s="781">
        <v>4462449</v>
      </c>
      <c r="D8" s="768"/>
      <c r="E8" s="782"/>
      <c r="F8" s="783"/>
    </row>
    <row r="9" spans="1:8" ht="14.25">
      <c r="A9" s="779" t="s">
        <v>667</v>
      </c>
      <c r="B9" s="780">
        <f>'(24) 9A'!C19</f>
        <v>25927503</v>
      </c>
      <c r="C9" s="781">
        <v>29686469</v>
      </c>
      <c r="D9" s="768"/>
      <c r="E9" s="782"/>
      <c r="F9" s="783"/>
    </row>
    <row r="10" spans="1:8" ht="14.25">
      <c r="A10" s="779" t="s">
        <v>668</v>
      </c>
      <c r="B10" s="780">
        <v>2556159</v>
      </c>
      <c r="C10" s="781">
        <v>646564</v>
      </c>
      <c r="D10" s="768"/>
      <c r="E10" s="782"/>
      <c r="F10" s="783"/>
      <c r="H10" s="406"/>
    </row>
    <row r="11" spans="1:8" ht="14.25">
      <c r="A11" s="779" t="s">
        <v>669</v>
      </c>
      <c r="B11" s="780">
        <v>0</v>
      </c>
      <c r="C11" s="781">
        <v>0</v>
      </c>
      <c r="D11" s="768"/>
      <c r="E11" s="782"/>
      <c r="F11" s="783"/>
      <c r="H11" s="406"/>
    </row>
    <row r="12" spans="1:8" s="380" customFormat="1" ht="15">
      <c r="A12" s="779" t="s">
        <v>670</v>
      </c>
      <c r="B12" s="597">
        <f>+B6+B7-B8-B9-B10</f>
        <v>525631751</v>
      </c>
      <c r="C12" s="598">
        <f>+C6+C7-C8-C9-C10</f>
        <v>504919216</v>
      </c>
      <c r="D12" s="768"/>
      <c r="E12" s="597"/>
      <c r="F12" s="597"/>
      <c r="H12" s="405"/>
    </row>
    <row r="13" spans="1:8" s="380" customFormat="1" ht="15">
      <c r="A13" s="779"/>
      <c r="B13" s="597"/>
      <c r="C13" s="598"/>
      <c r="D13" s="768"/>
      <c r="E13" s="784"/>
      <c r="F13" s="785"/>
      <c r="H13" s="405"/>
    </row>
    <row r="14" spans="1:8" ht="15">
      <c r="A14" s="776" t="s">
        <v>671</v>
      </c>
      <c r="B14" s="597"/>
      <c r="C14" s="598"/>
      <c r="D14" s="786" t="e">
        <f>#REF!+#REF!-#REF!-#REF!-#REF!-#REF!</f>
        <v>#REF!</v>
      </c>
      <c r="E14" s="787"/>
      <c r="F14" s="785"/>
    </row>
    <row r="15" spans="1:8" ht="14.25" customHeight="1">
      <c r="A15" s="779" t="s">
        <v>664</v>
      </c>
      <c r="B15" s="780">
        <v>0</v>
      </c>
      <c r="C15" s="781">
        <v>0</v>
      </c>
      <c r="D15" s="768"/>
      <c r="E15" s="766"/>
      <c r="F15" s="783"/>
    </row>
    <row r="16" spans="1:8" ht="14.25">
      <c r="A16" s="779" t="s">
        <v>665</v>
      </c>
      <c r="B16" s="780">
        <v>0</v>
      </c>
      <c r="C16" s="781">
        <v>0</v>
      </c>
      <c r="D16" s="768"/>
      <c r="E16" s="766"/>
      <c r="F16" s="783"/>
    </row>
    <row r="17" spans="1:7" ht="14.25">
      <c r="A17" s="779" t="s">
        <v>666</v>
      </c>
      <c r="B17" s="780">
        <v>0</v>
      </c>
      <c r="C17" s="781">
        <v>0</v>
      </c>
      <c r="D17" s="768" t="e">
        <f>SUM(D9:D16)</f>
        <v>#REF!</v>
      </c>
      <c r="E17" s="787"/>
      <c r="F17" s="783"/>
    </row>
    <row r="18" spans="1:7" ht="14.25">
      <c r="A18" s="779" t="s">
        <v>667</v>
      </c>
      <c r="B18" s="780">
        <v>0</v>
      </c>
      <c r="C18" s="781">
        <v>0</v>
      </c>
      <c r="D18" s="768"/>
      <c r="E18" s="787"/>
      <c r="F18" s="783"/>
    </row>
    <row r="19" spans="1:7" ht="14.25">
      <c r="A19" s="779" t="s">
        <v>668</v>
      </c>
      <c r="B19" s="780">
        <v>0</v>
      </c>
      <c r="C19" s="781">
        <v>0</v>
      </c>
      <c r="D19" s="768"/>
      <c r="E19" s="787"/>
      <c r="F19" s="783"/>
      <c r="G19" s="406"/>
    </row>
    <row r="20" spans="1:7" ht="14.25">
      <c r="A20" s="779" t="s">
        <v>669</v>
      </c>
      <c r="B20" s="780"/>
      <c r="C20" s="781"/>
      <c r="D20" s="768"/>
      <c r="E20" s="787"/>
      <c r="F20" s="783"/>
      <c r="G20" s="406"/>
    </row>
    <row r="21" spans="1:7" ht="15">
      <c r="A21" s="779" t="s">
        <v>670</v>
      </c>
      <c r="B21" s="597">
        <f>B15+B16-B17-B18-B19</f>
        <v>0</v>
      </c>
      <c r="C21" s="598">
        <f>C15+C16-C17-C18-C19</f>
        <v>0</v>
      </c>
      <c r="D21" s="768"/>
      <c r="E21" s="787"/>
      <c r="F21" s="783"/>
    </row>
    <row r="22" spans="1:7" ht="14.25">
      <c r="A22" s="779"/>
      <c r="B22" s="780"/>
      <c r="C22" s="781"/>
      <c r="D22" s="768"/>
      <c r="E22" s="787"/>
      <c r="F22" s="783"/>
    </row>
    <row r="23" spans="1:7" ht="15">
      <c r="A23" s="788" t="s">
        <v>672</v>
      </c>
      <c r="B23" s="597"/>
      <c r="C23" s="598"/>
      <c r="D23" s="789" t="e">
        <f>+D17+D18-D28-D19-D21</f>
        <v>#REF!</v>
      </c>
      <c r="E23" s="787"/>
      <c r="F23" s="785"/>
    </row>
    <row r="24" spans="1:7" ht="14.25">
      <c r="A24" s="779" t="s">
        <v>664</v>
      </c>
      <c r="B24" s="780">
        <v>0</v>
      </c>
      <c r="C24" s="781">
        <v>0</v>
      </c>
      <c r="D24" s="790" t="e">
        <f>+D12+#REF!+D14+D23</f>
        <v>#REF!</v>
      </c>
      <c r="E24" s="787"/>
      <c r="F24" s="783"/>
      <c r="G24" s="783"/>
    </row>
    <row r="25" spans="1:7" ht="14.25">
      <c r="A25" s="779" t="s">
        <v>665</v>
      </c>
      <c r="B25" s="780">
        <v>5800000</v>
      </c>
      <c r="C25" s="781">
        <v>8500000</v>
      </c>
      <c r="D25" s="768"/>
      <c r="E25" s="787"/>
      <c r="F25" s="783"/>
    </row>
    <row r="26" spans="1:7" ht="14.25">
      <c r="A26" s="779" t="s">
        <v>673</v>
      </c>
      <c r="B26" s="780">
        <v>4015000</v>
      </c>
      <c r="C26" s="778">
        <v>6219625</v>
      </c>
      <c r="D26" s="768"/>
      <c r="E26" s="787"/>
      <c r="F26" s="783"/>
    </row>
    <row r="27" spans="1:7" ht="14.25">
      <c r="A27" s="779" t="s">
        <v>667</v>
      </c>
      <c r="B27" s="780">
        <v>0</v>
      </c>
      <c r="C27" s="791">
        <v>0</v>
      </c>
      <c r="D27" s="768"/>
      <c r="E27" s="787"/>
      <c r="F27" s="783"/>
    </row>
    <row r="28" spans="1:7" ht="14.25">
      <c r="A28" s="779" t="s">
        <v>674</v>
      </c>
      <c r="B28" s="780">
        <v>1785000</v>
      </c>
      <c r="C28" s="781">
        <v>2280375</v>
      </c>
      <c r="D28" s="768"/>
      <c r="E28" s="787"/>
      <c r="F28" s="783"/>
    </row>
    <row r="29" spans="1:7" ht="14.25">
      <c r="A29" s="779" t="s">
        <v>675</v>
      </c>
      <c r="B29" s="780">
        <v>0</v>
      </c>
      <c r="C29" s="778">
        <v>0</v>
      </c>
      <c r="D29" s="768"/>
      <c r="E29" s="787"/>
      <c r="F29" s="783"/>
    </row>
    <row r="30" spans="1:7" ht="15">
      <c r="A30" s="779" t="s">
        <v>676</v>
      </c>
      <c r="B30" s="792">
        <f>B24+B25-B26-B27-B28-B29</f>
        <v>0</v>
      </c>
      <c r="C30" s="793">
        <f>C24+C25-C26-C27-C28-C29</f>
        <v>0</v>
      </c>
      <c r="D30" s="359"/>
      <c r="E30" s="792"/>
      <c r="F30" s="792"/>
    </row>
    <row r="31" spans="1:7" ht="14.25">
      <c r="A31" s="779"/>
      <c r="B31" s="794"/>
      <c r="C31" s="795"/>
      <c r="D31" s="359"/>
      <c r="E31" s="766"/>
    </row>
    <row r="32" spans="1:7" ht="15">
      <c r="A32" s="796" t="s">
        <v>677</v>
      </c>
      <c r="B32" s="797">
        <f>B12+B21+B30</f>
        <v>525631751</v>
      </c>
      <c r="C32" s="797">
        <f>C12+C21+C30</f>
        <v>504919216</v>
      </c>
      <c r="D32" s="359"/>
      <c r="E32" s="766"/>
    </row>
    <row r="33" spans="1:5" ht="15">
      <c r="A33" s="1252"/>
      <c r="B33" s="1253"/>
      <c r="C33" s="1253"/>
      <c r="D33" s="359"/>
      <c r="E33" s="766"/>
    </row>
    <row r="34" spans="1:5" ht="14.25">
      <c r="A34" s="768"/>
      <c r="B34" s="359"/>
      <c r="C34" s="355"/>
      <c r="D34" s="359"/>
      <c r="E34" s="766"/>
    </row>
    <row r="35" spans="1:5" ht="14.25">
      <c r="A35" s="768"/>
      <c r="B35" s="359"/>
      <c r="C35" s="355" t="s">
        <v>20</v>
      </c>
      <c r="D35" s="359"/>
      <c r="E35" s="766"/>
    </row>
    <row r="36" spans="1:5" ht="14.25">
      <c r="A36" s="768"/>
      <c r="B36" s="359"/>
      <c r="C36" s="359"/>
      <c r="D36" s="359"/>
      <c r="E36" s="766"/>
    </row>
    <row r="37" spans="1:5" ht="15">
      <c r="A37" s="603"/>
      <c r="B37" s="359"/>
      <c r="C37" s="359"/>
      <c r="D37" s="359"/>
      <c r="E37" s="766"/>
    </row>
  </sheetData>
  <customSheetViews>
    <customSheetView guid="{B1076A3F-74CA-4685-9B64-0249438E4A9A}" showPageBreaks="1" printArea="1" hiddenColumns="1" view="pageBreakPreview">
      <selection activeCell="A4" sqref="A4:C37"/>
      <pageMargins left="0" right="0" top="0" bottom="0" header="0.511811023622047" footer="0.511811023622047"/>
      <printOptions horizontalCentered="1" verticalCentered="1"/>
      <pageSetup paperSize="9" scale="85" orientation="landscape"/>
      <headerFooter alignWithMargins="0"/>
    </customSheetView>
    <customSheetView guid="{789595AE-36A2-4B02-81C2-3D94932E7381}" showPageBreaks="1" printArea="1" hiddenColumns="1" view="pageBreakPreview">
      <selection activeCell="A4" sqref="A4:C37"/>
      <pageMargins left="0" right="0" top="0" bottom="0" header="0.511811023622047" footer="0.511811023622047"/>
      <printOptions horizontalCentered="1" verticalCentered="1"/>
      <pageSetup paperSize="9" scale="85" orientation="landscape"/>
      <headerFooter alignWithMargins="0"/>
    </customSheetView>
  </customSheetViews>
  <mergeCells count="2">
    <mergeCell ref="A1:D1"/>
    <mergeCell ref="A2:D2"/>
  </mergeCells>
  <printOptions horizontalCentered="1" verticalCentered="1"/>
  <pageMargins left="0" right="0" top="0" bottom="0" header="0.35433070866141703" footer="0.31496062992126"/>
  <pageSetup paperSize="9" scale="9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51"/>
  <sheetViews>
    <sheetView showZeros="0" view="pageBreakPreview" zoomScaleNormal="100" workbookViewId="0">
      <pane xSplit="2" ySplit="8" topLeftCell="C9" activePane="bottomRight" state="frozen"/>
      <selection pane="topRight"/>
      <selection pane="bottomLeft"/>
      <selection pane="bottomRight" activeCell="B1" sqref="B1:G1"/>
    </sheetView>
  </sheetViews>
  <sheetFormatPr defaultColWidth="9" defaultRowHeight="12.75"/>
  <cols>
    <col min="1" max="1" width="7.42578125" customWidth="1"/>
    <col min="2" max="2" width="58.7109375" style="380" customWidth="1"/>
    <col min="3" max="3" width="17.140625" customWidth="1"/>
    <col min="4" max="4" width="14.28515625" customWidth="1"/>
    <col min="5" max="5" width="12.5703125" style="380" customWidth="1"/>
    <col min="6" max="6" width="15.28515625" customWidth="1"/>
    <col min="7" max="7" width="14.42578125" customWidth="1"/>
    <col min="8" max="8" width="14.28515625" customWidth="1"/>
  </cols>
  <sheetData>
    <row r="1" spans="1:8" ht="19.5" customHeight="1">
      <c r="A1" s="324"/>
      <c r="B1" s="1343" t="s">
        <v>1910</v>
      </c>
      <c r="C1" s="1343"/>
      <c r="D1" s="1343"/>
      <c r="E1" s="1343"/>
      <c r="F1" s="1343"/>
      <c r="G1" s="1343"/>
      <c r="H1" s="740"/>
    </row>
    <row r="2" spans="1:8" ht="19.5" customHeight="1">
      <c r="A2" s="324"/>
      <c r="B2" s="1488" t="s">
        <v>43</v>
      </c>
      <c r="C2" s="1488"/>
      <c r="D2" s="1488"/>
      <c r="E2" s="1488"/>
      <c r="F2" s="1488"/>
      <c r="G2" s="1488"/>
      <c r="H2" s="541"/>
    </row>
    <row r="3" spans="1:8" ht="12.75" customHeight="1">
      <c r="A3" s="324"/>
      <c r="B3" s="382"/>
      <c r="C3" s="382"/>
      <c r="D3" s="382"/>
      <c r="E3" s="382"/>
      <c r="F3" s="382"/>
      <c r="G3" s="382"/>
      <c r="H3" s="382"/>
    </row>
    <row r="4" spans="1:8" ht="19.5">
      <c r="A4" s="324"/>
      <c r="B4" s="1343" t="s">
        <v>678</v>
      </c>
      <c r="C4" s="1343"/>
      <c r="D4" s="1343"/>
      <c r="E4" s="1343"/>
      <c r="F4" s="1343"/>
      <c r="G4" s="1343"/>
      <c r="H4" s="570"/>
    </row>
    <row r="5" spans="1:8" ht="19.5" customHeight="1">
      <c r="A5" s="324"/>
      <c r="B5" s="1488" t="s">
        <v>679</v>
      </c>
      <c r="C5" s="1488"/>
      <c r="D5" s="1488"/>
      <c r="E5" s="1488"/>
      <c r="F5" s="1488"/>
      <c r="G5" s="1488"/>
      <c r="H5" s="570"/>
    </row>
    <row r="6" spans="1:8" ht="14.25">
      <c r="A6" s="324"/>
      <c r="B6" s="382"/>
      <c r="C6" s="382"/>
      <c r="D6" s="382"/>
      <c r="E6" s="382"/>
      <c r="F6" s="570"/>
      <c r="G6" s="570"/>
      <c r="H6" s="741"/>
    </row>
    <row r="7" spans="1:8" s="605" customFormat="1" ht="19.5">
      <c r="A7" s="1396" t="s">
        <v>581</v>
      </c>
      <c r="B7" s="1396" t="s">
        <v>680</v>
      </c>
      <c r="C7" s="1396" t="s">
        <v>6</v>
      </c>
      <c r="D7" s="1396"/>
      <c r="E7" s="1396"/>
      <c r="F7" s="1396" t="s">
        <v>7</v>
      </c>
      <c r="G7" s="1396"/>
      <c r="H7" s="1396"/>
    </row>
    <row r="8" spans="1:8" s="639" customFormat="1" ht="18" customHeight="1">
      <c r="A8" s="1486"/>
      <c r="B8" s="1487"/>
      <c r="C8" s="742" t="s">
        <v>586</v>
      </c>
      <c r="D8" s="742" t="s">
        <v>587</v>
      </c>
      <c r="E8" s="742" t="s">
        <v>12</v>
      </c>
      <c r="F8" s="742" t="s">
        <v>586</v>
      </c>
      <c r="G8" s="742" t="s">
        <v>587</v>
      </c>
      <c r="H8" s="742" t="s">
        <v>12</v>
      </c>
    </row>
    <row r="9" spans="1:8" ht="18" customHeight="1">
      <c r="A9" s="743">
        <v>1</v>
      </c>
      <c r="B9" s="718" t="s">
        <v>681</v>
      </c>
      <c r="C9" s="394">
        <f>F27</f>
        <v>646564</v>
      </c>
      <c r="D9" s="394">
        <v>0</v>
      </c>
      <c r="E9" s="394">
        <f t="shared" ref="E9:E27" si="0">SUM(C9:D9)</f>
        <v>646564</v>
      </c>
      <c r="F9" s="394">
        <v>5237350</v>
      </c>
      <c r="G9" s="394">
        <v>0</v>
      </c>
      <c r="H9" s="394"/>
    </row>
    <row r="10" spans="1:8" ht="18" customHeight="1">
      <c r="A10" s="743">
        <v>2</v>
      </c>
      <c r="B10" s="744" t="s">
        <v>682</v>
      </c>
      <c r="C10" s="394">
        <v>553666384</v>
      </c>
      <c r="D10" s="394">
        <v>0</v>
      </c>
      <c r="E10" s="394">
        <f t="shared" si="0"/>
        <v>553666384</v>
      </c>
      <c r="F10" s="394">
        <v>534477348</v>
      </c>
      <c r="G10" s="394">
        <v>0</v>
      </c>
      <c r="H10" s="394">
        <f>SUM(F10:G10)</f>
        <v>534477348</v>
      </c>
    </row>
    <row r="11" spans="1:8" ht="18" customHeight="1">
      <c r="A11" s="743">
        <v>3</v>
      </c>
      <c r="B11" s="744" t="s">
        <v>683</v>
      </c>
      <c r="C11" s="394">
        <v>197535</v>
      </c>
      <c r="D11" s="394">
        <v>0</v>
      </c>
      <c r="E11" s="394">
        <f t="shared" si="0"/>
        <v>197535</v>
      </c>
      <c r="F11" s="394">
        <v>4462449</v>
      </c>
      <c r="G11" s="394">
        <v>0</v>
      </c>
      <c r="H11" s="394">
        <f>SUM(F11:G11)</f>
        <v>4462449</v>
      </c>
    </row>
    <row r="12" spans="1:8" ht="33.75" customHeight="1">
      <c r="A12" s="743">
        <v>4</v>
      </c>
      <c r="B12" s="744" t="s">
        <v>684</v>
      </c>
      <c r="C12" s="745"/>
      <c r="D12" s="394"/>
      <c r="E12" s="394"/>
      <c r="F12" s="394">
        <v>0</v>
      </c>
      <c r="G12" s="394"/>
      <c r="H12" s="394"/>
    </row>
    <row r="13" spans="1:8" ht="18" customHeight="1">
      <c r="A13" s="746"/>
      <c r="B13" s="744" t="s">
        <v>685</v>
      </c>
      <c r="C13" s="394"/>
      <c r="D13" s="394"/>
      <c r="E13" s="394"/>
      <c r="F13" s="394">
        <v>0</v>
      </c>
      <c r="G13" s="394"/>
      <c r="H13" s="394"/>
    </row>
    <row r="14" spans="1:8" ht="18" customHeight="1">
      <c r="A14" s="746"/>
      <c r="B14" s="744" t="s">
        <v>686</v>
      </c>
      <c r="C14" s="394"/>
      <c r="D14" s="394"/>
      <c r="E14" s="394"/>
      <c r="F14" s="394"/>
      <c r="G14" s="394"/>
      <c r="H14" s="394"/>
    </row>
    <row r="15" spans="1:8" ht="17.25" customHeight="1">
      <c r="A15" s="746"/>
      <c r="B15" s="744" t="s">
        <v>687</v>
      </c>
      <c r="C15" s="394">
        <v>0</v>
      </c>
      <c r="D15" s="394">
        <v>0</v>
      </c>
      <c r="E15" s="394">
        <f t="shared" si="0"/>
        <v>0</v>
      </c>
      <c r="F15" s="394">
        <v>0</v>
      </c>
      <c r="G15" s="394">
        <v>0</v>
      </c>
      <c r="H15" s="394">
        <f t="shared" ref="H15:H25" si="1">SUM(F15:G15)</f>
        <v>0</v>
      </c>
    </row>
    <row r="16" spans="1:8" s="380" customFormat="1" ht="18" customHeight="1">
      <c r="A16" s="746"/>
      <c r="B16" s="744" t="s">
        <v>688</v>
      </c>
      <c r="C16" s="342"/>
      <c r="D16" s="342"/>
      <c r="E16" s="342">
        <f t="shared" si="0"/>
        <v>0</v>
      </c>
      <c r="F16" s="342"/>
      <c r="G16" s="342"/>
      <c r="H16" s="394">
        <f t="shared" si="1"/>
        <v>0</v>
      </c>
    </row>
    <row r="17" spans="1:10" s="380" customFormat="1" ht="18" customHeight="1">
      <c r="A17" s="743">
        <v>5</v>
      </c>
      <c r="B17" s="744" t="s">
        <v>689</v>
      </c>
      <c r="C17" s="342"/>
      <c r="D17" s="342">
        <f>SUM(D9:D16)</f>
        <v>0</v>
      </c>
      <c r="E17" s="342"/>
      <c r="F17" s="342"/>
      <c r="G17" s="342"/>
      <c r="H17" s="394"/>
    </row>
    <row r="18" spans="1:10" ht="18" customHeight="1">
      <c r="A18" s="743">
        <v>6</v>
      </c>
      <c r="B18" s="520" t="s">
        <v>690</v>
      </c>
      <c r="C18" s="394">
        <f>C9+C10-C11</f>
        <v>554115413</v>
      </c>
      <c r="D18" s="394">
        <v>0</v>
      </c>
      <c r="E18" s="394">
        <f t="shared" si="0"/>
        <v>554115413</v>
      </c>
      <c r="F18" s="394">
        <v>535252249</v>
      </c>
      <c r="G18" s="394">
        <v>0</v>
      </c>
      <c r="H18" s="394">
        <f t="shared" si="1"/>
        <v>535252249</v>
      </c>
    </row>
    <row r="19" spans="1:10" s="380" customFormat="1" ht="18" customHeight="1">
      <c r="A19" s="743">
        <v>7</v>
      </c>
      <c r="B19" s="718" t="s">
        <v>691</v>
      </c>
      <c r="C19" s="342">
        <f>18900000+7027503</f>
        <v>25927503</v>
      </c>
      <c r="D19" s="342"/>
      <c r="E19" s="394">
        <f t="shared" si="0"/>
        <v>25927503</v>
      </c>
      <c r="F19" s="342">
        <v>29686469</v>
      </c>
      <c r="G19" s="342"/>
      <c r="H19" s="394">
        <f t="shared" si="1"/>
        <v>29686469</v>
      </c>
    </row>
    <row r="20" spans="1:10" ht="18" customHeight="1">
      <c r="A20" s="743">
        <v>8</v>
      </c>
      <c r="B20" s="520" t="s">
        <v>692</v>
      </c>
      <c r="C20" s="394">
        <f>C18-C19</f>
        <v>528187910</v>
      </c>
      <c r="D20" s="394">
        <v>0</v>
      </c>
      <c r="E20" s="394">
        <f t="shared" si="0"/>
        <v>528187910</v>
      </c>
      <c r="F20" s="394">
        <v>505565780</v>
      </c>
      <c r="G20" s="394">
        <v>0</v>
      </c>
      <c r="H20" s="394">
        <f t="shared" si="1"/>
        <v>505565780</v>
      </c>
    </row>
    <row r="21" spans="1:10" ht="18" customHeight="1">
      <c r="A21" s="743">
        <v>9</v>
      </c>
      <c r="B21" s="718" t="s">
        <v>693</v>
      </c>
      <c r="C21" s="394">
        <v>353950000</v>
      </c>
      <c r="D21" s="394">
        <v>0</v>
      </c>
      <c r="E21" s="394">
        <f t="shared" si="0"/>
        <v>353950000</v>
      </c>
      <c r="F21" s="747">
        <v>335000000</v>
      </c>
      <c r="G21" s="394">
        <v>0</v>
      </c>
      <c r="H21" s="394">
        <f t="shared" si="1"/>
        <v>335000000</v>
      </c>
    </row>
    <row r="22" spans="1:10" ht="18" customHeight="1">
      <c r="A22" s="743">
        <v>10</v>
      </c>
      <c r="B22" s="718" t="s">
        <v>694</v>
      </c>
      <c r="C22" s="394">
        <v>37324770</v>
      </c>
      <c r="D22" s="394">
        <v>0</v>
      </c>
      <c r="E22" s="394">
        <f t="shared" si="0"/>
        <v>37324770</v>
      </c>
      <c r="F22" s="394">
        <v>39000000</v>
      </c>
      <c r="G22" s="394">
        <v>0</v>
      </c>
      <c r="H22" s="394">
        <f t="shared" si="1"/>
        <v>39000000</v>
      </c>
    </row>
    <row r="23" spans="1:10" s="380" customFormat="1" ht="18" customHeight="1">
      <c r="A23" s="743">
        <v>11</v>
      </c>
      <c r="B23" s="718" t="s">
        <v>695</v>
      </c>
      <c r="C23" s="394">
        <f>120098230+21286254-7027503</f>
        <v>134356981</v>
      </c>
      <c r="D23" s="342">
        <f>D22+D21+D20</f>
        <v>0</v>
      </c>
      <c r="E23" s="394">
        <f t="shared" si="0"/>
        <v>134356981</v>
      </c>
      <c r="F23" s="342">
        <v>130919216</v>
      </c>
      <c r="G23" s="342">
        <v>0</v>
      </c>
      <c r="H23" s="394">
        <f t="shared" si="1"/>
        <v>130919216</v>
      </c>
    </row>
    <row r="24" spans="1:10" s="380" customFormat="1" ht="18" customHeight="1">
      <c r="A24" s="743">
        <v>12</v>
      </c>
      <c r="B24" s="718" t="s">
        <v>696</v>
      </c>
      <c r="C24" s="342">
        <f>SUM(C21:C23)</f>
        <v>525631751</v>
      </c>
      <c r="D24" s="394"/>
      <c r="E24" s="394">
        <f t="shared" si="0"/>
        <v>525631751</v>
      </c>
      <c r="F24" s="394">
        <v>504919216</v>
      </c>
      <c r="G24" s="394"/>
      <c r="H24" s="394">
        <f t="shared" si="1"/>
        <v>504919216</v>
      </c>
      <c r="J24" s="764"/>
    </row>
    <row r="25" spans="1:10" s="380" customFormat="1" ht="18" customHeight="1">
      <c r="A25" s="743">
        <v>13</v>
      </c>
      <c r="B25" s="520" t="s">
        <v>697</v>
      </c>
      <c r="C25" s="394">
        <f>C20-C24</f>
        <v>2556159</v>
      </c>
      <c r="D25" s="394"/>
      <c r="E25" s="394">
        <f t="shared" si="0"/>
        <v>2556159</v>
      </c>
      <c r="F25" s="394">
        <v>646564</v>
      </c>
      <c r="G25" s="394"/>
      <c r="H25" s="394">
        <f t="shared" si="1"/>
        <v>646564</v>
      </c>
    </row>
    <row r="26" spans="1:10" s="380" customFormat="1" ht="18" customHeight="1">
      <c r="A26" s="746">
        <v>14</v>
      </c>
      <c r="B26" s="520" t="s">
        <v>698</v>
      </c>
      <c r="C26" s="394">
        <f>C19+C24</f>
        <v>551559254</v>
      </c>
      <c r="D26" s="394"/>
      <c r="E26" s="394">
        <f t="shared" si="0"/>
        <v>551559254</v>
      </c>
      <c r="F26" s="394">
        <v>534605685</v>
      </c>
      <c r="G26" s="394"/>
      <c r="H26" s="394"/>
    </row>
    <row r="27" spans="1:10" s="380" customFormat="1" ht="18" customHeight="1">
      <c r="A27" s="743">
        <v>15</v>
      </c>
      <c r="B27" s="748" t="s">
        <v>699</v>
      </c>
      <c r="C27" s="749">
        <f>C18-C26</f>
        <v>2556159</v>
      </c>
      <c r="D27" s="749"/>
      <c r="E27" s="394">
        <f t="shared" si="0"/>
        <v>2556159</v>
      </c>
      <c r="F27" s="749">
        <f>F18-F26</f>
        <v>646564</v>
      </c>
      <c r="G27" s="749">
        <f t="shared" ref="G27" si="2">G18-G26</f>
        <v>0</v>
      </c>
      <c r="H27" s="749">
        <f>F27+G27</f>
        <v>646564</v>
      </c>
    </row>
    <row r="28" spans="1:10" s="380" customFormat="1" ht="33.75" customHeight="1">
      <c r="C28" s="409"/>
      <c r="D28" s="409"/>
      <c r="E28" s="409"/>
      <c r="F28" s="750" t="s">
        <v>700</v>
      </c>
      <c r="G28" s="408"/>
      <c r="H28" s="409"/>
    </row>
    <row r="29" spans="1:10">
      <c r="B29"/>
      <c r="C29" s="751" t="s">
        <v>3</v>
      </c>
      <c r="D29" s="751"/>
      <c r="E29" s="356"/>
      <c r="F29" s="570"/>
      <c r="G29" s="570"/>
      <c r="H29" s="570"/>
    </row>
    <row r="30" spans="1:10">
      <c r="A30" s="324"/>
      <c r="B30" s="752" t="s">
        <v>701</v>
      </c>
      <c r="C30" s="753" t="s">
        <v>702</v>
      </c>
      <c r="D30" s="754"/>
      <c r="E30" s="352"/>
      <c r="F30" s="352"/>
      <c r="G30" s="353"/>
      <c r="H30" s="324"/>
    </row>
    <row r="31" spans="1:10" ht="14.25">
      <c r="A31" s="755"/>
      <c r="B31" s="756" t="s">
        <v>703</v>
      </c>
      <c r="C31" s="757">
        <f>C11</f>
        <v>197535</v>
      </c>
      <c r="D31" s="758"/>
      <c r="E31" s="353"/>
      <c r="F31" s="352"/>
      <c r="G31" s="352"/>
      <c r="H31" s="345"/>
    </row>
    <row r="32" spans="1:10" ht="14.25">
      <c r="A32" s="755"/>
      <c r="B32" s="756" t="s">
        <v>704</v>
      </c>
      <c r="C32" s="757"/>
      <c r="D32" s="77"/>
      <c r="E32" s="353"/>
      <c r="F32" s="352"/>
      <c r="G32" s="352"/>
      <c r="H32" s="345"/>
    </row>
    <row r="33" spans="1:8" ht="14.25">
      <c r="A33" s="755"/>
      <c r="B33" s="756" t="s">
        <v>705</v>
      </c>
      <c r="C33" s="757">
        <f>SUM(C31:C32)</f>
        <v>197535</v>
      </c>
      <c r="D33" s="408"/>
      <c r="E33" s="353"/>
      <c r="F33" s="353"/>
      <c r="G33" s="353"/>
      <c r="H33" s="345"/>
    </row>
    <row r="34" spans="1:8" ht="14.25">
      <c r="A34" s="755"/>
      <c r="B34" s="759"/>
      <c r="C34" s="430"/>
      <c r="D34" s="409"/>
      <c r="E34" s="353"/>
      <c r="F34" s="353"/>
      <c r="G34" s="353"/>
      <c r="H34" s="324"/>
    </row>
    <row r="35" spans="1:8">
      <c r="A35" s="324"/>
      <c r="B35"/>
      <c r="C35" s="409"/>
      <c r="D35" s="409"/>
      <c r="E35" s="353"/>
      <c r="F35" s="353"/>
      <c r="G35" s="570"/>
      <c r="H35" s="355" t="s">
        <v>20</v>
      </c>
    </row>
    <row r="36" spans="1:8">
      <c r="A36" s="324"/>
      <c r="B36"/>
      <c r="C36" s="325"/>
      <c r="D36" s="325"/>
      <c r="E36" s="356"/>
      <c r="F36" s="760"/>
      <c r="G36" s="324"/>
      <c r="H36" s="324"/>
    </row>
    <row r="37" spans="1:8">
      <c r="A37" s="324"/>
      <c r="B37" s="761"/>
      <c r="C37" s="324"/>
      <c r="D37" s="324"/>
      <c r="E37" s="325"/>
      <c r="F37" s="324"/>
      <c r="G37" s="324"/>
      <c r="H37" s="324"/>
    </row>
    <row r="38" spans="1:8" ht="15">
      <c r="A38" s="324"/>
      <c r="B38" s="603"/>
      <c r="C38" s="324"/>
      <c r="D38" s="324"/>
      <c r="E38" s="356"/>
      <c r="F38" s="324"/>
      <c r="G38" s="324"/>
      <c r="H38" s="324"/>
    </row>
    <row r="39" spans="1:8">
      <c r="A39" s="324"/>
      <c r="B39" s="356"/>
      <c r="C39" s="325"/>
      <c r="D39" s="325"/>
      <c r="E39" s="356"/>
      <c r="F39" s="345"/>
      <c r="G39" s="325"/>
      <c r="H39" s="324"/>
    </row>
    <row r="40" spans="1:8" ht="15">
      <c r="A40" s="324"/>
      <c r="B40" s="604"/>
      <c r="C40" s="324"/>
      <c r="D40" s="324"/>
      <c r="E40" s="409"/>
      <c r="F40" s="324"/>
      <c r="G40" s="324"/>
      <c r="H40" s="324"/>
    </row>
    <row r="41" spans="1:8" ht="15">
      <c r="A41" s="324"/>
      <c r="B41" s="604"/>
      <c r="C41" s="324"/>
      <c r="D41" s="324"/>
      <c r="E41" s="356"/>
      <c r="F41" s="324"/>
      <c r="G41" s="324"/>
      <c r="H41" s="324"/>
    </row>
    <row r="42" spans="1:8" ht="15">
      <c r="A42" s="324"/>
      <c r="B42" s="603"/>
      <c r="C42" s="324"/>
      <c r="D42" s="324"/>
      <c r="E42" s="356"/>
      <c r="F42" s="324"/>
      <c r="G42" s="324"/>
      <c r="H42" s="324"/>
    </row>
    <row r="43" spans="1:8" ht="15">
      <c r="A43" s="324"/>
      <c r="B43" s="603"/>
      <c r="C43" s="762"/>
      <c r="D43" s="763"/>
      <c r="E43" s="356"/>
      <c r="F43" s="356"/>
      <c r="G43" s="324"/>
      <c r="H43" s="324"/>
    </row>
    <row r="44" spans="1:8" ht="15">
      <c r="A44" s="324"/>
      <c r="B44" s="603"/>
      <c r="C44" s="325"/>
      <c r="D44" s="325"/>
      <c r="E44" s="356"/>
      <c r="F44" s="324"/>
      <c r="G44" s="324"/>
      <c r="H44" s="324"/>
    </row>
    <row r="45" spans="1:8" ht="15">
      <c r="A45" s="324"/>
      <c r="B45" s="603"/>
      <c r="C45" s="324"/>
      <c r="D45" s="324"/>
      <c r="E45" s="356"/>
      <c r="F45" s="324"/>
      <c r="G45" s="324"/>
      <c r="H45" s="324"/>
    </row>
    <row r="46" spans="1:8">
      <c r="A46" s="324"/>
      <c r="B46" s="356"/>
      <c r="C46" s="324"/>
      <c r="D46" s="324"/>
      <c r="E46" s="356"/>
      <c r="F46" s="324"/>
      <c r="G46" s="324"/>
      <c r="H46" s="324"/>
    </row>
    <row r="47" spans="1:8">
      <c r="A47" s="324"/>
      <c r="B47" s="356"/>
      <c r="C47" s="324"/>
      <c r="D47" s="324"/>
      <c r="E47" s="356"/>
      <c r="F47" s="324"/>
      <c r="G47" s="324"/>
      <c r="H47" s="324"/>
    </row>
    <row r="48" spans="1:8">
      <c r="A48" s="324"/>
      <c r="B48" s="356"/>
      <c r="C48" s="324"/>
      <c r="D48" s="324"/>
      <c r="E48" s="356"/>
      <c r="F48" s="324"/>
      <c r="G48" s="324"/>
      <c r="H48" s="324"/>
    </row>
    <row r="49" spans="1:8">
      <c r="A49" s="324"/>
      <c r="B49" s="356"/>
      <c r="C49" s="324"/>
      <c r="D49" s="324"/>
      <c r="E49" s="356"/>
      <c r="F49" s="324"/>
      <c r="G49" s="324"/>
      <c r="H49" s="324"/>
    </row>
    <row r="50" spans="1:8">
      <c r="B50" s="356"/>
    </row>
    <row r="51" spans="1:8">
      <c r="B51" s="356"/>
    </row>
  </sheetData>
  <customSheetViews>
    <customSheetView guid="{B1076A3F-74CA-4685-9B64-0249438E4A9A}" scale="90" showPageBreaks="1" zeroValues="0" fitToPage="1" printArea="1" view="pageBreakPreview">
      <pane xSplit="2" ySplit="8" topLeftCell="C15" state="frozen"/>
      <selection activeCell="C28" sqref="C28:C29"/>
      <pageMargins left="0" right="0" top="0" bottom="0" header="0.511811023622047" footer="0.66929133858267698"/>
      <printOptions horizontalCentered="1" verticalCentered="1"/>
      <pageSetup paperSize="9" scale="87" orientation="landscape"/>
      <headerFooter alignWithMargins="0"/>
    </customSheetView>
    <customSheetView guid="{789595AE-36A2-4B02-81C2-3D94932E7381}" scale="90" showPageBreaks="1" zeroValues="0" fitToPage="1" printArea="1" view="pageBreakPreview">
      <pane xSplit="2" ySplit="8" topLeftCell="C15" state="frozen"/>
      <selection activeCell="C28" sqref="C28:C29"/>
      <pageMargins left="0" right="0" top="0" bottom="0" header="0.511811023622047" footer="0.66929133858267698"/>
      <printOptions horizontalCentered="1" verticalCentered="1"/>
      <pageSetup paperSize="9" scale="87" orientation="landscape"/>
      <headerFooter alignWithMargins="0"/>
    </customSheetView>
  </customSheetViews>
  <mergeCells count="8">
    <mergeCell ref="A7:A8"/>
    <mergeCell ref="B7:B8"/>
    <mergeCell ref="B1:G1"/>
    <mergeCell ref="B2:G2"/>
    <mergeCell ref="B4:G4"/>
    <mergeCell ref="B5:G5"/>
    <mergeCell ref="C7:E7"/>
    <mergeCell ref="F7:H7"/>
  </mergeCells>
  <printOptions horizontalCentered="1" verticalCentered="1"/>
  <pageMargins left="0" right="0" top="0" bottom="0" header="0.35433070866141703" footer="0.31496062992126"/>
  <pageSetup paperSize="9" scale="93"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U47"/>
  <sheetViews>
    <sheetView view="pageBreakPreview" zoomScale="70" zoomScaleNormal="100" zoomScaleSheetLayoutView="70" workbookViewId="0">
      <selection activeCell="K44" sqref="K44"/>
    </sheetView>
  </sheetViews>
  <sheetFormatPr defaultColWidth="9.140625" defaultRowHeight="15"/>
  <cols>
    <col min="1" max="1" width="8.85546875" style="19" customWidth="1"/>
    <col min="2" max="2" width="53.140625" style="19" customWidth="1"/>
    <col min="3" max="3" width="15.42578125" style="19" customWidth="1"/>
    <col min="4" max="4" width="15" style="19" customWidth="1"/>
    <col min="5" max="5" width="14.28515625" style="19" customWidth="1"/>
    <col min="6" max="6" width="14.7109375" style="19" customWidth="1"/>
    <col min="7" max="7" width="11.28515625" style="19" customWidth="1"/>
    <col min="8" max="8" width="13.42578125" style="19" customWidth="1"/>
    <col min="9" max="9" width="16.140625" style="19" customWidth="1"/>
    <col min="10" max="10" width="13.42578125" style="19" customWidth="1"/>
    <col min="11" max="11" width="16" style="19" customWidth="1"/>
    <col min="12" max="12" width="11.7109375" style="19" customWidth="1"/>
    <col min="13" max="13" width="14.7109375" style="19" customWidth="1"/>
    <col min="14" max="14" width="12.5703125" style="19" customWidth="1"/>
    <col min="15" max="15" width="13.42578125" style="19" customWidth="1"/>
    <col min="16" max="16" width="17.7109375" style="19" customWidth="1"/>
    <col min="17" max="17" width="19.5703125" style="19" customWidth="1"/>
    <col min="18" max="16384" width="9.140625" style="19"/>
  </cols>
  <sheetData>
    <row r="1" spans="1:21" ht="18.75">
      <c r="A1" s="710" t="s">
        <v>706</v>
      </c>
      <c r="B1" s="710"/>
      <c r="C1" s="710"/>
      <c r="D1" s="710"/>
      <c r="E1" s="710"/>
      <c r="F1" s="710"/>
      <c r="G1" s="710"/>
      <c r="N1" s="710"/>
      <c r="O1" s="710"/>
      <c r="P1" s="1501" t="s">
        <v>707</v>
      </c>
      <c r="Q1" s="1501"/>
      <c r="R1" s="1501"/>
      <c r="S1" s="1501"/>
      <c r="T1" s="1501"/>
      <c r="U1" s="1501"/>
    </row>
    <row r="2" spans="1:21" ht="18.75">
      <c r="A2" s="1502" t="s">
        <v>1910</v>
      </c>
      <c r="B2" s="1502"/>
      <c r="C2" s="1502"/>
      <c r="D2" s="1502"/>
      <c r="E2" s="1502"/>
      <c r="F2" s="1502"/>
      <c r="G2" s="1502"/>
      <c r="H2" s="1502"/>
      <c r="I2" s="1502"/>
      <c r="J2" s="1502"/>
      <c r="K2" s="1502"/>
      <c r="L2" s="1502"/>
      <c r="M2" s="1502"/>
      <c r="N2" s="710"/>
      <c r="O2" s="710"/>
    </row>
    <row r="3" spans="1:21" ht="18.75">
      <c r="A3" s="1502" t="s">
        <v>43</v>
      </c>
      <c r="B3" s="1502"/>
      <c r="C3" s="1502"/>
      <c r="D3" s="1502"/>
      <c r="E3" s="1502"/>
      <c r="F3" s="1502"/>
      <c r="G3" s="1502"/>
      <c r="H3" s="1502"/>
      <c r="I3" s="1502"/>
      <c r="J3" s="1502"/>
      <c r="K3" s="1502"/>
      <c r="L3" s="1502"/>
      <c r="M3" s="1502"/>
      <c r="N3" s="710"/>
      <c r="O3" s="710"/>
    </row>
    <row r="4" spans="1:21" ht="9" customHeight="1">
      <c r="A4" s="710"/>
      <c r="B4" s="1502"/>
      <c r="C4" s="1502"/>
      <c r="D4" s="1502"/>
      <c r="E4" s="1502"/>
      <c r="F4" s="1502"/>
      <c r="G4" s="1502"/>
      <c r="H4" s="1502"/>
      <c r="I4" s="1502"/>
      <c r="J4" s="1502"/>
      <c r="K4" s="1502"/>
      <c r="L4" s="1502"/>
      <c r="M4" s="1502"/>
      <c r="N4" s="1502"/>
      <c r="O4" s="1502"/>
    </row>
    <row r="5" spans="1:21" ht="18.75">
      <c r="A5" s="1501" t="s">
        <v>708</v>
      </c>
      <c r="B5" s="1501"/>
      <c r="C5" s="1501"/>
      <c r="D5" s="1501"/>
      <c r="E5" s="1501"/>
      <c r="F5" s="1501"/>
      <c r="G5" s="1501"/>
      <c r="H5" s="1501"/>
      <c r="I5" s="1501"/>
      <c r="J5" s="1501"/>
      <c r="K5" s="1501"/>
      <c r="L5" s="1501"/>
      <c r="M5" s="1501"/>
      <c r="N5" s="711"/>
      <c r="O5" s="711"/>
    </row>
    <row r="6" spans="1:21" ht="7.5" customHeight="1">
      <c r="A6" s="710"/>
      <c r="B6" s="644"/>
      <c r="C6" s="644"/>
      <c r="D6" s="644"/>
      <c r="E6" s="644"/>
      <c r="F6" s="644"/>
      <c r="G6" s="644"/>
      <c r="H6" s="644"/>
      <c r="I6" s="644"/>
      <c r="J6" s="644"/>
      <c r="K6" s="644"/>
      <c r="L6" s="644"/>
      <c r="M6" s="644"/>
      <c r="N6" s="644"/>
      <c r="O6" s="644"/>
    </row>
    <row r="7" spans="1:21" ht="18.75">
      <c r="A7" s="711" t="s">
        <v>709</v>
      </c>
      <c r="B7" s="710"/>
      <c r="C7" s="710"/>
      <c r="D7" s="710"/>
      <c r="E7" s="710"/>
      <c r="F7" s="710"/>
      <c r="G7" s="710"/>
      <c r="H7" s="1500" t="s">
        <v>3</v>
      </c>
      <c r="I7" s="1500"/>
      <c r="J7" s="1500"/>
      <c r="K7" s="1500"/>
      <c r="L7" s="728"/>
      <c r="M7" s="728"/>
      <c r="N7" s="710"/>
      <c r="O7" s="710"/>
    </row>
    <row r="8" spans="1:21" s="139" customFormat="1" ht="63" customHeight="1">
      <c r="A8" s="712" t="s">
        <v>605</v>
      </c>
      <c r="B8" s="713" t="s">
        <v>710</v>
      </c>
      <c r="C8" s="1499" t="s">
        <v>711</v>
      </c>
      <c r="D8" s="1499"/>
      <c r="E8" s="1495" t="s">
        <v>712</v>
      </c>
      <c r="F8" s="1497"/>
      <c r="G8" s="1495" t="s">
        <v>713</v>
      </c>
      <c r="H8" s="1497"/>
      <c r="I8" s="1495" t="s">
        <v>714</v>
      </c>
      <c r="J8" s="1497"/>
      <c r="K8" s="729" t="s">
        <v>12</v>
      </c>
      <c r="L8" s="730"/>
      <c r="M8" s="1492"/>
      <c r="N8" s="710"/>
      <c r="O8" s="710"/>
      <c r="P8" s="710"/>
      <c r="Q8" s="710"/>
      <c r="R8" s="738"/>
      <c r="S8" s="1493"/>
      <c r="T8" s="1493"/>
      <c r="U8" s="738"/>
    </row>
    <row r="9" spans="1:21" s="139" customFormat="1" ht="63" customHeight="1">
      <c r="A9" s="715">
        <v>1</v>
      </c>
      <c r="B9" s="715">
        <v>2</v>
      </c>
      <c r="C9" s="715">
        <v>3</v>
      </c>
      <c r="D9" s="715">
        <v>4</v>
      </c>
      <c r="E9" s="715">
        <v>5</v>
      </c>
      <c r="F9" s="715">
        <v>6</v>
      </c>
      <c r="G9" s="715">
        <v>7</v>
      </c>
      <c r="H9" s="715">
        <v>8</v>
      </c>
      <c r="I9" s="715">
        <v>9</v>
      </c>
      <c r="J9" s="712">
        <v>10</v>
      </c>
      <c r="K9" s="714" t="s">
        <v>715</v>
      </c>
      <c r="L9" s="731"/>
      <c r="M9" s="1492"/>
      <c r="N9" s="710"/>
      <c r="O9" s="710"/>
      <c r="P9" s="710"/>
      <c r="Q9" s="710"/>
      <c r="R9" s="738"/>
      <c r="S9" s="738"/>
      <c r="T9" s="738"/>
      <c r="U9" s="738"/>
    </row>
    <row r="10" spans="1:21" s="139" customFormat="1" ht="33" customHeight="1">
      <c r="A10" s="716"/>
      <c r="B10" s="716"/>
      <c r="C10" s="717" t="s">
        <v>716</v>
      </c>
      <c r="D10" s="717" t="s">
        <v>717</v>
      </c>
      <c r="E10" s="717" t="s">
        <v>716</v>
      </c>
      <c r="F10" s="717" t="s">
        <v>717</v>
      </c>
      <c r="G10" s="717" t="s">
        <v>716</v>
      </c>
      <c r="H10" s="717" t="s">
        <v>717</v>
      </c>
      <c r="I10" s="717" t="s">
        <v>716</v>
      </c>
      <c r="J10" s="717" t="s">
        <v>717</v>
      </c>
      <c r="K10" s="717"/>
      <c r="L10" s="709"/>
      <c r="M10" s="381"/>
      <c r="N10" s="710"/>
      <c r="O10" s="710"/>
      <c r="P10" s="710"/>
      <c r="Q10" s="710"/>
      <c r="R10" s="738"/>
      <c r="S10" s="738"/>
      <c r="T10" s="738"/>
      <c r="U10" s="738"/>
    </row>
    <row r="11" spans="1:21" s="709" customFormat="1" ht="18.75">
      <c r="A11" s="615">
        <v>1</v>
      </c>
      <c r="B11" s="718" t="s">
        <v>718</v>
      </c>
      <c r="C11" s="718">
        <v>13500000</v>
      </c>
      <c r="D11" s="719">
        <v>13500000</v>
      </c>
      <c r="E11" s="719">
        <v>600000</v>
      </c>
      <c r="F11" s="719">
        <v>600000</v>
      </c>
      <c r="G11" s="719">
        <v>1800000</v>
      </c>
      <c r="H11" s="719">
        <v>1800000</v>
      </c>
      <c r="I11" s="719">
        <v>3000000</v>
      </c>
      <c r="J11" s="719">
        <v>3000000</v>
      </c>
      <c r="K11" s="37">
        <f>D11+F11+H11+J11</f>
        <v>18900000</v>
      </c>
      <c r="L11" s="710"/>
      <c r="M11" s="731"/>
      <c r="N11" s="731"/>
      <c r="O11" s="731"/>
      <c r="P11" s="732"/>
    </row>
    <row r="12" spans="1:21" ht="24" customHeight="1">
      <c r="A12" s="615">
        <v>2</v>
      </c>
      <c r="B12" s="718" t="s">
        <v>719</v>
      </c>
      <c r="C12" s="718">
        <v>353950000</v>
      </c>
      <c r="D12" s="718">
        <v>353950000</v>
      </c>
      <c r="E12" s="719"/>
      <c r="F12" s="719"/>
      <c r="G12" s="719"/>
      <c r="H12" s="719"/>
      <c r="I12" s="719"/>
      <c r="J12" s="37"/>
      <c r="K12" s="37">
        <f t="shared" ref="K12:K15" si="0">D12+F12+H12+J12</f>
        <v>353950000</v>
      </c>
      <c r="L12" s="710"/>
      <c r="M12" s="710"/>
      <c r="N12" s="710"/>
      <c r="O12" s="710"/>
    </row>
    <row r="13" spans="1:21" ht="15.75" customHeight="1">
      <c r="A13" s="615">
        <v>3</v>
      </c>
      <c r="B13" s="718" t="s">
        <v>720</v>
      </c>
      <c r="C13" s="718"/>
      <c r="D13" s="719"/>
      <c r="E13" s="719"/>
      <c r="F13" s="719"/>
      <c r="G13" s="719"/>
      <c r="H13" s="719"/>
      <c r="I13" s="719"/>
      <c r="J13" s="37"/>
      <c r="K13" s="37">
        <f t="shared" si="0"/>
        <v>0</v>
      </c>
      <c r="L13" s="710"/>
      <c r="M13" s="710"/>
      <c r="N13" s="710"/>
      <c r="O13" s="710"/>
    </row>
    <row r="14" spans="1:21" ht="15.75" customHeight="1">
      <c r="A14" s="615" t="s">
        <v>721</v>
      </c>
      <c r="B14" s="718" t="s">
        <v>722</v>
      </c>
      <c r="C14" s="718">
        <v>37324770</v>
      </c>
      <c r="D14" s="718">
        <v>37324770</v>
      </c>
      <c r="E14" s="719"/>
      <c r="F14" s="719"/>
      <c r="G14" s="719"/>
      <c r="H14" s="719"/>
      <c r="I14" s="719"/>
      <c r="J14" s="37"/>
      <c r="K14" s="37">
        <f t="shared" si="0"/>
        <v>37324770</v>
      </c>
      <c r="L14" s="710"/>
      <c r="M14" s="710"/>
      <c r="N14" s="710"/>
      <c r="O14" s="710"/>
    </row>
    <row r="15" spans="1:21" ht="17.25" customHeight="1">
      <c r="A15" s="615" t="s">
        <v>723</v>
      </c>
      <c r="B15" s="718" t="s">
        <v>724</v>
      </c>
      <c r="C15" s="718">
        <v>85000000</v>
      </c>
      <c r="D15" s="718">
        <v>85000000</v>
      </c>
      <c r="E15" s="719">
        <v>2000000</v>
      </c>
      <c r="F15" s="719">
        <v>2000000</v>
      </c>
      <c r="G15" s="719">
        <v>3000000</v>
      </c>
      <c r="H15" s="719">
        <v>3000000</v>
      </c>
      <c r="I15" s="719">
        <v>6000000</v>
      </c>
      <c r="J15" s="719">
        <v>6000000</v>
      </c>
      <c r="K15" s="37">
        <f t="shared" si="0"/>
        <v>96000000</v>
      </c>
      <c r="L15" s="710"/>
      <c r="M15" s="710"/>
      <c r="N15" s="710"/>
      <c r="O15" s="710"/>
    </row>
    <row r="16" spans="1:21" ht="17.25" customHeight="1">
      <c r="A16" s="720"/>
      <c r="B16" s="718"/>
      <c r="C16" s="718"/>
      <c r="D16" s="719"/>
      <c r="E16" s="719"/>
      <c r="F16" s="719"/>
      <c r="G16" s="719"/>
      <c r="H16" s="719"/>
      <c r="I16" s="719"/>
      <c r="J16" s="37"/>
      <c r="K16" s="37"/>
      <c r="L16" s="710"/>
      <c r="M16" s="710"/>
      <c r="N16" s="710"/>
      <c r="O16" s="710"/>
    </row>
    <row r="17" spans="1:17" ht="17.25" customHeight="1">
      <c r="A17" s="721"/>
      <c r="B17" s="721" t="s">
        <v>12</v>
      </c>
      <c r="C17" s="721">
        <f>SUM(C11:C16)</f>
        <v>489774770</v>
      </c>
      <c r="D17" s="721">
        <f t="shared" ref="D17:K17" si="1">SUM(D11:D16)</f>
        <v>489774770</v>
      </c>
      <c r="E17" s="721">
        <f t="shared" si="1"/>
        <v>2600000</v>
      </c>
      <c r="F17" s="721">
        <f t="shared" si="1"/>
        <v>2600000</v>
      </c>
      <c r="G17" s="721">
        <f t="shared" si="1"/>
        <v>4800000</v>
      </c>
      <c r="H17" s="721">
        <f t="shared" si="1"/>
        <v>4800000</v>
      </c>
      <c r="I17" s="721">
        <f t="shared" si="1"/>
        <v>9000000</v>
      </c>
      <c r="J17" s="721">
        <f t="shared" si="1"/>
        <v>9000000</v>
      </c>
      <c r="K17" s="721">
        <f t="shared" si="1"/>
        <v>506174770</v>
      </c>
      <c r="L17" s="733"/>
      <c r="M17" s="710"/>
      <c r="N17" s="710"/>
      <c r="O17" s="710"/>
    </row>
    <row r="18" spans="1:17" ht="18.75">
      <c r="A18" s="721"/>
      <c r="B18" s="721" t="s">
        <v>12</v>
      </c>
      <c r="C18" s="721"/>
      <c r="D18" s="721"/>
      <c r="E18" s="721"/>
      <c r="F18" s="721"/>
      <c r="G18" s="721"/>
      <c r="H18" s="721"/>
      <c r="I18" s="721"/>
      <c r="J18" s="721"/>
      <c r="K18" s="734" t="s">
        <v>725</v>
      </c>
      <c r="L18" s="568"/>
      <c r="M18" s="733"/>
      <c r="N18" s="710"/>
      <c r="O18" s="710"/>
    </row>
    <row r="19" spans="1:17" ht="18.75">
      <c r="A19" s="568"/>
      <c r="B19" s="568"/>
      <c r="C19" s="568"/>
      <c r="D19" s="710"/>
      <c r="E19" s="710"/>
      <c r="F19" s="710"/>
      <c r="G19" s="710"/>
      <c r="H19" s="710"/>
      <c r="I19" s="710"/>
      <c r="J19" s="22"/>
      <c r="K19" s="22"/>
      <c r="L19" s="733"/>
      <c r="M19" s="710"/>
      <c r="N19" s="710"/>
      <c r="O19" s="710"/>
    </row>
    <row r="20" spans="1:17" ht="18" customHeight="1">
      <c r="A20" s="568"/>
      <c r="B20" s="568"/>
      <c r="C20" s="568"/>
      <c r="D20" s="710"/>
      <c r="E20" s="710"/>
      <c r="F20" s="710"/>
      <c r="G20" s="710"/>
      <c r="H20" s="710"/>
      <c r="I20" s="710"/>
      <c r="J20" s="22"/>
      <c r="K20" s="22"/>
      <c r="L20" s="733"/>
      <c r="M20" s="710"/>
      <c r="N20" s="710"/>
      <c r="O20" s="710"/>
    </row>
    <row r="21" spans="1:17" ht="21.75" customHeight="1">
      <c r="A21" s="1494" t="s">
        <v>726</v>
      </c>
      <c r="B21" s="1494"/>
      <c r="C21" s="1494"/>
      <c r="D21" s="1494"/>
      <c r="E21" s="1494"/>
      <c r="F21" s="1494"/>
      <c r="G21" s="1494"/>
      <c r="H21" s="1494"/>
      <c r="I21" s="1494"/>
      <c r="J21" s="1494"/>
      <c r="K21" s="1494"/>
      <c r="L21" s="1494"/>
      <c r="M21" s="1494"/>
      <c r="N21" s="1494"/>
      <c r="O21" s="1494"/>
    </row>
    <row r="22" spans="1:17" ht="18.75">
      <c r="A22" s="710"/>
      <c r="B22" s="710"/>
      <c r="C22" s="710"/>
      <c r="D22" s="710"/>
      <c r="E22" s="710"/>
      <c r="F22" s="710"/>
      <c r="G22" s="710"/>
      <c r="H22" s="710"/>
      <c r="I22" s="710"/>
      <c r="K22" s="710"/>
      <c r="L22" s="710"/>
      <c r="N22" s="710"/>
      <c r="Q22" s="726" t="s">
        <v>3</v>
      </c>
    </row>
    <row r="23" spans="1:17" s="139" customFormat="1" ht="120">
      <c r="A23" s="712" t="s">
        <v>581</v>
      </c>
      <c r="B23" s="714" t="s">
        <v>727</v>
      </c>
      <c r="C23" s="714" t="s">
        <v>728</v>
      </c>
      <c r="D23" s="714" t="s">
        <v>729</v>
      </c>
      <c r="E23" s="714" t="s">
        <v>730</v>
      </c>
      <c r="F23" s="1495" t="s">
        <v>731</v>
      </c>
      <c r="G23" s="1496"/>
      <c r="H23" s="1497"/>
      <c r="I23" s="1498" t="s">
        <v>712</v>
      </c>
      <c r="J23" s="1498"/>
      <c r="K23" s="1498" t="s">
        <v>713</v>
      </c>
      <c r="L23" s="1498"/>
      <c r="M23" s="1498" t="s">
        <v>714</v>
      </c>
      <c r="N23" s="1498"/>
      <c r="O23" s="1499" t="s">
        <v>732</v>
      </c>
      <c r="P23" s="1499"/>
      <c r="Q23" s="1499"/>
    </row>
    <row r="24" spans="1:17" s="139" customFormat="1" ht="39" customHeight="1">
      <c r="A24" s="712"/>
      <c r="B24" s="714"/>
      <c r="C24" s="714"/>
      <c r="D24" s="714"/>
      <c r="E24" s="714"/>
      <c r="F24" s="714" t="s">
        <v>733</v>
      </c>
      <c r="G24" s="714" t="s">
        <v>734</v>
      </c>
      <c r="H24" s="714" t="s">
        <v>735</v>
      </c>
      <c r="I24" s="714" t="s">
        <v>734</v>
      </c>
      <c r="J24" s="714" t="s">
        <v>735</v>
      </c>
      <c r="K24" s="714" t="s">
        <v>734</v>
      </c>
      <c r="L24" s="714" t="s">
        <v>735</v>
      </c>
      <c r="M24" s="714" t="s">
        <v>734</v>
      </c>
      <c r="N24" s="714" t="s">
        <v>735</v>
      </c>
      <c r="O24" s="714" t="s">
        <v>734</v>
      </c>
      <c r="P24" s="714" t="s">
        <v>735</v>
      </c>
      <c r="Q24" s="739" t="s">
        <v>736</v>
      </c>
    </row>
    <row r="25" spans="1:17" s="139" customFormat="1">
      <c r="A25" s="715">
        <v>1</v>
      </c>
      <c r="B25" s="715">
        <v>2</v>
      </c>
      <c r="C25" s="715">
        <v>3</v>
      </c>
      <c r="D25" s="715">
        <v>4</v>
      </c>
      <c r="E25" s="712">
        <v>5</v>
      </c>
      <c r="F25" s="712"/>
      <c r="G25" s="715">
        <v>6</v>
      </c>
      <c r="H25" s="715">
        <v>7</v>
      </c>
      <c r="I25" s="715">
        <v>8</v>
      </c>
      <c r="J25" s="712">
        <v>9</v>
      </c>
      <c r="K25" s="735">
        <v>10</v>
      </c>
      <c r="L25" s="735">
        <v>11</v>
      </c>
      <c r="M25" s="735">
        <v>12</v>
      </c>
      <c r="N25" s="735">
        <v>13</v>
      </c>
      <c r="O25" s="712" t="s">
        <v>737</v>
      </c>
      <c r="P25" s="712" t="s">
        <v>738</v>
      </c>
      <c r="Q25" s="739" t="s">
        <v>739</v>
      </c>
    </row>
    <row r="26" spans="1:17" ht="31.5">
      <c r="A26" s="719">
        <v>1</v>
      </c>
      <c r="B26" s="191" t="s">
        <v>740</v>
      </c>
      <c r="C26" s="719"/>
      <c r="D26" s="719"/>
      <c r="E26" s="34">
        <v>1270</v>
      </c>
      <c r="F26" s="34"/>
      <c r="G26" s="719"/>
      <c r="H26" s="719">
        <v>259804</v>
      </c>
      <c r="I26" s="719"/>
      <c r="J26" s="721"/>
      <c r="K26" s="719"/>
      <c r="L26" s="34"/>
      <c r="M26" s="34"/>
      <c r="N26" s="34"/>
      <c r="O26" s="34">
        <f>G26</f>
        <v>0</v>
      </c>
      <c r="P26" s="34">
        <f>H26</f>
        <v>259804</v>
      </c>
      <c r="Q26" s="34">
        <f>O26+P26</f>
        <v>259804</v>
      </c>
    </row>
    <row r="27" spans="1:17" ht="18.75">
      <c r="A27" s="719">
        <v>2</v>
      </c>
      <c r="B27" s="191" t="s">
        <v>741</v>
      </c>
      <c r="C27" s="719"/>
      <c r="D27" s="719"/>
      <c r="E27" s="34">
        <v>1270</v>
      </c>
      <c r="F27" s="34"/>
      <c r="G27" s="719"/>
      <c r="H27" s="719">
        <v>1484360</v>
      </c>
      <c r="I27" s="719"/>
      <c r="J27" s="721"/>
      <c r="K27" s="719"/>
      <c r="L27" s="34"/>
      <c r="M27" s="34"/>
      <c r="N27" s="34"/>
      <c r="O27" s="34">
        <f t="shared" ref="O27:O35" si="2">G27</f>
        <v>0</v>
      </c>
      <c r="P27" s="34">
        <f t="shared" ref="P27:P35" si="3">H27</f>
        <v>1484360</v>
      </c>
      <c r="Q27" s="34">
        <f t="shared" ref="Q27:Q35" si="4">O27+P27</f>
        <v>1484360</v>
      </c>
    </row>
    <row r="28" spans="1:17" ht="31.5">
      <c r="A28" s="719">
        <v>3</v>
      </c>
      <c r="B28" s="191" t="s">
        <v>742</v>
      </c>
      <c r="C28" s="719"/>
      <c r="D28" s="719"/>
      <c r="E28" s="34">
        <v>1270</v>
      </c>
      <c r="F28" s="34"/>
      <c r="G28" s="719">
        <v>2200000</v>
      </c>
      <c r="H28" s="719">
        <v>1289891</v>
      </c>
      <c r="I28" s="719"/>
      <c r="J28" s="721"/>
      <c r="K28" s="719"/>
      <c r="L28" s="34"/>
      <c r="M28" s="34"/>
      <c r="N28" s="34"/>
      <c r="O28" s="34">
        <f t="shared" si="2"/>
        <v>2200000</v>
      </c>
      <c r="P28" s="34">
        <f t="shared" si="3"/>
        <v>1289891</v>
      </c>
      <c r="Q28" s="34">
        <f t="shared" si="4"/>
        <v>3489891</v>
      </c>
    </row>
    <row r="29" spans="1:17" ht="18.75">
      <c r="A29" s="719">
        <v>4</v>
      </c>
      <c r="B29" s="195" t="s">
        <v>743</v>
      </c>
      <c r="C29" s="719"/>
      <c r="D29" s="719"/>
      <c r="E29" s="34">
        <v>90</v>
      </c>
      <c r="F29" s="34"/>
      <c r="G29" s="719"/>
      <c r="H29" s="719">
        <v>1369400</v>
      </c>
      <c r="I29" s="719"/>
      <c r="J29" s="721"/>
      <c r="K29" s="719"/>
      <c r="L29" s="34"/>
      <c r="M29" s="34"/>
      <c r="N29" s="34"/>
      <c r="O29" s="34">
        <f t="shared" si="2"/>
        <v>0</v>
      </c>
      <c r="P29" s="34">
        <f t="shared" si="3"/>
        <v>1369400</v>
      </c>
      <c r="Q29" s="34">
        <f t="shared" si="4"/>
        <v>1369400</v>
      </c>
    </row>
    <row r="30" spans="1:17" ht="18.75">
      <c r="A30" s="719">
        <v>6</v>
      </c>
      <c r="B30" s="191" t="s">
        <v>745</v>
      </c>
      <c r="C30" s="719"/>
      <c r="D30" s="719"/>
      <c r="E30" s="34"/>
      <c r="F30" s="34"/>
      <c r="G30" s="719">
        <v>1838558</v>
      </c>
      <c r="H30" s="719">
        <v>2161442</v>
      </c>
      <c r="I30" s="719"/>
      <c r="J30" s="721"/>
      <c r="K30" s="719"/>
      <c r="L30" s="34"/>
      <c r="M30" s="34"/>
      <c r="N30" s="34"/>
      <c r="O30" s="34">
        <f t="shared" si="2"/>
        <v>1838558</v>
      </c>
      <c r="P30" s="34">
        <f t="shared" si="3"/>
        <v>2161442</v>
      </c>
      <c r="Q30" s="34">
        <f t="shared" si="4"/>
        <v>4000000</v>
      </c>
    </row>
    <row r="31" spans="1:17" ht="18.75">
      <c r="A31" s="719">
        <v>7</v>
      </c>
      <c r="B31" s="191" t="s">
        <v>746</v>
      </c>
      <c r="C31" s="719"/>
      <c r="D31" s="719"/>
      <c r="E31" s="34">
        <v>93</v>
      </c>
      <c r="F31" s="34"/>
      <c r="G31" s="719">
        <v>2389505</v>
      </c>
      <c r="H31" s="719">
        <v>5050839</v>
      </c>
      <c r="I31" s="719"/>
      <c r="J31" s="721"/>
      <c r="K31" s="719"/>
      <c r="L31" s="34"/>
      <c r="M31" s="34"/>
      <c r="N31" s="34"/>
      <c r="O31" s="34">
        <f t="shared" si="2"/>
        <v>2389505</v>
      </c>
      <c r="P31" s="34">
        <f t="shared" si="3"/>
        <v>5050839</v>
      </c>
      <c r="Q31" s="34">
        <f t="shared" si="4"/>
        <v>7440344</v>
      </c>
    </row>
    <row r="32" spans="1:17" ht="18.75">
      <c r="A32" s="719">
        <v>9</v>
      </c>
      <c r="B32" s="196" t="s">
        <v>748</v>
      </c>
      <c r="C32" s="719"/>
      <c r="D32" s="719"/>
      <c r="E32" s="34">
        <v>97</v>
      </c>
      <c r="F32" s="34"/>
      <c r="G32" s="719">
        <v>599440</v>
      </c>
      <c r="H32" s="719">
        <v>2149269</v>
      </c>
      <c r="I32" s="719"/>
      <c r="J32" s="721"/>
      <c r="K32" s="719"/>
      <c r="L32" s="34"/>
      <c r="M32" s="34"/>
      <c r="N32" s="34"/>
      <c r="O32" s="34">
        <f t="shared" si="2"/>
        <v>599440</v>
      </c>
      <c r="P32" s="34">
        <f t="shared" si="3"/>
        <v>2149269</v>
      </c>
      <c r="Q32" s="34">
        <f t="shared" si="4"/>
        <v>2748709</v>
      </c>
    </row>
    <row r="33" spans="1:17" ht="30">
      <c r="A33" s="719">
        <v>11</v>
      </c>
      <c r="B33" s="197" t="s">
        <v>750</v>
      </c>
      <c r="C33" s="719"/>
      <c r="D33" s="719"/>
      <c r="E33" s="34">
        <v>1270</v>
      </c>
      <c r="F33" s="34"/>
      <c r="G33" s="719"/>
      <c r="H33" s="719">
        <v>243782</v>
      </c>
      <c r="I33" s="719"/>
      <c r="J33" s="721"/>
      <c r="K33" s="719"/>
      <c r="L33" s="34"/>
      <c r="M33" s="34"/>
      <c r="N33" s="34"/>
      <c r="O33" s="34">
        <f t="shared" si="2"/>
        <v>0</v>
      </c>
      <c r="P33" s="34">
        <f t="shared" si="3"/>
        <v>243782</v>
      </c>
      <c r="Q33" s="34">
        <f t="shared" si="4"/>
        <v>243782</v>
      </c>
    </row>
    <row r="34" spans="1:17" ht="63">
      <c r="A34" s="719">
        <v>12</v>
      </c>
      <c r="B34" s="199" t="s">
        <v>751</v>
      </c>
      <c r="C34" s="719"/>
      <c r="D34" s="719"/>
      <c r="E34" s="34">
        <v>93</v>
      </c>
      <c r="F34" s="34"/>
      <c r="G34" s="719"/>
      <c r="H34" s="719">
        <v>249964</v>
      </c>
      <c r="I34" s="719"/>
      <c r="J34" s="721"/>
      <c r="K34" s="719"/>
      <c r="L34" s="34"/>
      <c r="M34" s="34"/>
      <c r="N34" s="34"/>
      <c r="O34" s="34">
        <f t="shared" si="2"/>
        <v>0</v>
      </c>
      <c r="P34" s="34">
        <f t="shared" si="3"/>
        <v>249964</v>
      </c>
      <c r="Q34" s="34">
        <f t="shared" si="4"/>
        <v>249964</v>
      </c>
    </row>
    <row r="35" spans="1:17" ht="18.75">
      <c r="A35" s="719"/>
      <c r="B35" s="199" t="s">
        <v>1875</v>
      </c>
      <c r="C35" s="719"/>
      <c r="D35" s="719"/>
      <c r="E35" s="34">
        <v>1270</v>
      </c>
      <c r="F35" s="34"/>
      <c r="G35" s="719"/>
      <c r="H35" s="719">
        <v>24098230</v>
      </c>
      <c r="I35" s="719"/>
      <c r="J35" s="721"/>
      <c r="K35" s="719"/>
      <c r="L35" s="34"/>
      <c r="M35" s="34"/>
      <c r="N35" s="34"/>
      <c r="O35" s="34">
        <f t="shared" si="2"/>
        <v>0</v>
      </c>
      <c r="P35" s="34">
        <f t="shared" si="3"/>
        <v>24098230</v>
      </c>
      <c r="Q35" s="34">
        <f t="shared" si="4"/>
        <v>24098230</v>
      </c>
    </row>
    <row r="36" spans="1:17" ht="18.75">
      <c r="A36" s="719"/>
      <c r="B36" s="722" t="s">
        <v>752</v>
      </c>
      <c r="C36" s="722"/>
      <c r="D36" s="719"/>
      <c r="E36" s="34"/>
      <c r="F36" s="34"/>
      <c r="G36" s="719">
        <f>SUM(G26:G35)</f>
        <v>7027503</v>
      </c>
      <c r="H36" s="719">
        <f t="shared" ref="H36:Q36" si="5">SUM(H26:H35)</f>
        <v>38356981</v>
      </c>
      <c r="I36" s="719">
        <f t="shared" si="5"/>
        <v>0</v>
      </c>
      <c r="J36" s="719">
        <f t="shared" si="5"/>
        <v>0</v>
      </c>
      <c r="K36" s="719">
        <f t="shared" si="5"/>
        <v>0</v>
      </c>
      <c r="L36" s="719">
        <f t="shared" si="5"/>
        <v>0</v>
      </c>
      <c r="M36" s="719">
        <f t="shared" si="5"/>
        <v>0</v>
      </c>
      <c r="N36" s="719">
        <f t="shared" si="5"/>
        <v>0</v>
      </c>
      <c r="O36" s="719">
        <f t="shared" si="5"/>
        <v>7027503</v>
      </c>
      <c r="P36" s="719">
        <f t="shared" si="5"/>
        <v>38356981</v>
      </c>
      <c r="Q36" s="719">
        <f t="shared" si="5"/>
        <v>45384484</v>
      </c>
    </row>
    <row r="37" spans="1:17" s="22" customFormat="1" ht="16.5" customHeight="1">
      <c r="A37" s="723" t="s">
        <v>753</v>
      </c>
      <c r="B37" s="711"/>
      <c r="C37" s="711"/>
      <c r="D37" s="711"/>
      <c r="E37" s="711"/>
      <c r="F37" s="711"/>
      <c r="G37" s="711"/>
      <c r="H37" s="711"/>
      <c r="I37" s="711"/>
      <c r="J37" s="711"/>
      <c r="K37" s="711"/>
      <c r="L37" s="711"/>
      <c r="M37" s="711"/>
      <c r="N37" s="711"/>
      <c r="O37" s="711"/>
    </row>
    <row r="38" spans="1:17" ht="21.75" customHeight="1">
      <c r="A38" s="710"/>
      <c r="B38" s="710"/>
      <c r="C38" s="711">
        <f>K17</f>
        <v>506174770</v>
      </c>
      <c r="D38" s="711">
        <f>Q36</f>
        <v>45384484</v>
      </c>
      <c r="E38" s="711">
        <f>SUM(C38:D38)</f>
        <v>551559254</v>
      </c>
      <c r="F38" s="710"/>
      <c r="G38" s="710"/>
      <c r="H38" s="710"/>
      <c r="I38" s="710"/>
      <c r="J38" s="710"/>
      <c r="K38" s="710"/>
      <c r="L38" s="710"/>
      <c r="M38" s="710"/>
      <c r="N38" s="710"/>
      <c r="O38" s="710"/>
    </row>
    <row r="39" spans="1:17" ht="18.75">
      <c r="A39" s="711" t="s">
        <v>754</v>
      </c>
      <c r="B39" s="710"/>
      <c r="C39" s="710"/>
      <c r="D39" s="710"/>
      <c r="E39" s="710"/>
      <c r="F39" s="710"/>
      <c r="G39" s="710"/>
      <c r="H39" s="710"/>
      <c r="I39" s="710"/>
      <c r="J39" s="710"/>
      <c r="K39" s="710"/>
      <c r="L39" s="710"/>
      <c r="M39" s="710"/>
      <c r="N39" s="710"/>
      <c r="O39" s="710"/>
    </row>
    <row r="40" spans="1:17" ht="16.5" customHeight="1">
      <c r="A40" s="1489" t="s">
        <v>755</v>
      </c>
      <c r="B40" s="1489"/>
      <c r="C40" s="1489"/>
      <c r="D40" s="1489"/>
      <c r="E40" s="1489"/>
      <c r="F40" s="1489"/>
      <c r="G40" s="1489"/>
      <c r="H40" s="1489"/>
      <c r="I40" s="1489"/>
      <c r="J40" s="1489"/>
      <c r="K40" s="1489"/>
      <c r="L40" s="1489"/>
      <c r="M40" s="710"/>
      <c r="N40" s="710"/>
      <c r="O40" s="710"/>
    </row>
    <row r="41" spans="1:17" ht="12" customHeight="1">
      <c r="A41" s="724"/>
      <c r="B41" s="724"/>
      <c r="C41" s="724"/>
      <c r="D41" s="724"/>
      <c r="E41" s="724"/>
      <c r="F41" s="725"/>
      <c r="G41" s="726" t="s">
        <v>3</v>
      </c>
      <c r="H41" s="725"/>
      <c r="I41" s="725"/>
      <c r="J41" s="725"/>
      <c r="K41" s="725"/>
      <c r="M41" s="710"/>
      <c r="N41" s="710"/>
      <c r="O41" s="710"/>
    </row>
    <row r="42" spans="1:17" s="139" customFormat="1" ht="114" customHeight="1">
      <c r="A42" s="727" t="s">
        <v>581</v>
      </c>
      <c r="B42" s="714" t="s">
        <v>756</v>
      </c>
      <c r="C42" s="714" t="s">
        <v>757</v>
      </c>
      <c r="D42" s="714" t="s">
        <v>758</v>
      </c>
      <c r="E42" s="714" t="s">
        <v>759</v>
      </c>
      <c r="F42" s="714"/>
      <c r="G42" s="714" t="s">
        <v>760</v>
      </c>
      <c r="I42" s="736"/>
      <c r="J42" s="736"/>
      <c r="K42" s="730"/>
      <c r="M42" s="737"/>
      <c r="N42" s="737"/>
      <c r="O42" s="737"/>
    </row>
    <row r="43" spans="1:17" s="139" customFormat="1">
      <c r="A43" s="715">
        <v>1</v>
      </c>
      <c r="B43" s="715">
        <v>2</v>
      </c>
      <c r="C43" s="715">
        <v>3</v>
      </c>
      <c r="D43" s="715">
        <v>4</v>
      </c>
      <c r="E43" s="715">
        <v>5</v>
      </c>
      <c r="F43" s="715"/>
      <c r="G43" s="715" t="s">
        <v>761</v>
      </c>
      <c r="I43" s="737"/>
      <c r="J43" s="737"/>
      <c r="K43" s="731"/>
      <c r="M43" s="731"/>
      <c r="N43" s="737"/>
      <c r="O43" s="737"/>
    </row>
    <row r="44" spans="1:17" ht="18.75">
      <c r="A44" s="719"/>
      <c r="B44" s="719"/>
      <c r="C44" s="719"/>
      <c r="D44" s="719"/>
      <c r="E44" s="722"/>
      <c r="F44" s="722"/>
      <c r="G44" s="719"/>
      <c r="I44" s="711"/>
      <c r="J44" s="711"/>
      <c r="K44" s="568"/>
      <c r="M44" s="710"/>
      <c r="N44" s="710"/>
      <c r="O44" s="710"/>
    </row>
    <row r="45" spans="1:17" ht="18.75">
      <c r="A45" s="719"/>
      <c r="B45" s="719"/>
      <c r="C45" s="719"/>
      <c r="D45" s="719"/>
      <c r="E45" s="722"/>
      <c r="F45" s="722"/>
      <c r="G45" s="719"/>
      <c r="I45" s="711"/>
      <c r="J45" s="711"/>
      <c r="K45" s="568"/>
      <c r="M45" s="710"/>
      <c r="N45" s="710"/>
      <c r="O45" s="710"/>
    </row>
    <row r="46" spans="1:17" ht="18.75">
      <c r="A46" s="710"/>
      <c r="B46" s="710"/>
      <c r="C46" s="710"/>
      <c r="D46" s="710"/>
      <c r="E46" s="710"/>
      <c r="F46" s="710"/>
      <c r="G46" s="710"/>
      <c r="H46" s="710"/>
      <c r="I46" s="710"/>
      <c r="J46" s="1490"/>
      <c r="K46" s="1490"/>
      <c r="L46" s="1490"/>
      <c r="M46" s="1490"/>
      <c r="N46" s="1491" t="s">
        <v>20</v>
      </c>
      <c r="O46" s="1491"/>
      <c r="P46" s="1491"/>
      <c r="Q46" s="1491"/>
    </row>
    <row r="47" spans="1:17" ht="18.75">
      <c r="A47" s="710"/>
      <c r="B47" s="710"/>
      <c r="C47" s="710"/>
      <c r="D47" s="710"/>
      <c r="E47" s="710"/>
      <c r="F47" s="710"/>
      <c r="G47" s="710"/>
      <c r="H47" s="710"/>
      <c r="I47" s="710"/>
      <c r="J47" s="710"/>
      <c r="K47" s="710"/>
      <c r="L47" s="710"/>
      <c r="M47" s="710"/>
      <c r="N47" s="710"/>
      <c r="O47" s="710"/>
    </row>
  </sheetData>
  <mergeCells count="21">
    <mergeCell ref="P1:U1"/>
    <mergeCell ref="A2:M2"/>
    <mergeCell ref="A3:M3"/>
    <mergeCell ref="B4:O4"/>
    <mergeCell ref="A5:M5"/>
    <mergeCell ref="H7:K7"/>
    <mergeCell ref="C8:D8"/>
    <mergeCell ref="E8:F8"/>
    <mergeCell ref="G8:H8"/>
    <mergeCell ref="I8:J8"/>
    <mergeCell ref="A40:L40"/>
    <mergeCell ref="J46:M46"/>
    <mergeCell ref="N46:Q46"/>
    <mergeCell ref="M8:M9"/>
    <mergeCell ref="S8:T8"/>
    <mergeCell ref="A21:O21"/>
    <mergeCell ref="F23:H23"/>
    <mergeCell ref="I23:J23"/>
    <mergeCell ref="K23:L23"/>
    <mergeCell ref="M23:N23"/>
    <mergeCell ref="O23:Q23"/>
  </mergeCells>
  <printOptions horizontalCentered="1" verticalCentered="1"/>
  <pageMargins left="0" right="0" top="0" bottom="0" header="0.35433070866141703" footer="0.31496062992126"/>
  <pageSetup paperSize="9" scale="48" orientation="landscape" r:id="rId1"/>
  <headerFooter alignWithMargins="0"/>
  <ignoredErrors>
    <ignoredError sqref="K17" formulaRange="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7"/>
  <sheetViews>
    <sheetView view="pageBreakPreview" topLeftCell="A2" zoomScaleNormal="100" workbookViewId="0">
      <selection activeCell="H12" sqref="H12"/>
    </sheetView>
  </sheetViews>
  <sheetFormatPr defaultColWidth="9.140625" defaultRowHeight="12.75"/>
  <cols>
    <col min="1" max="1" width="5.28515625" style="680" customWidth="1"/>
    <col min="2" max="2" width="62.7109375" style="680" customWidth="1"/>
    <col min="3" max="3" width="15.140625" style="680" customWidth="1"/>
    <col min="4" max="5" width="16.28515625" style="680" customWidth="1"/>
    <col min="6" max="6" width="16.42578125" style="680" customWidth="1"/>
    <col min="7" max="7" width="12.5703125" style="680" customWidth="1"/>
    <col min="8" max="16384" width="9.140625" style="680"/>
  </cols>
  <sheetData>
    <row r="1" spans="1:9" ht="18" customHeight="1">
      <c r="A1" s="1503" t="s">
        <v>1910</v>
      </c>
      <c r="B1" s="1503"/>
      <c r="C1" s="1503"/>
      <c r="D1" s="1503"/>
      <c r="E1" s="1503"/>
      <c r="G1" s="681"/>
      <c r="H1" s="681"/>
      <c r="I1" s="681"/>
    </row>
    <row r="2" spans="1:9" ht="14.25" customHeight="1">
      <c r="A2" s="1503" t="s">
        <v>43</v>
      </c>
      <c r="B2" s="1503"/>
      <c r="C2" s="1503"/>
      <c r="D2" s="1503"/>
      <c r="E2" s="1503"/>
      <c r="G2" s="681"/>
      <c r="H2" s="681"/>
      <c r="I2" s="681"/>
    </row>
    <row r="3" spans="1:9" ht="18" customHeight="1">
      <c r="A3" s="1504" t="s">
        <v>678</v>
      </c>
      <c r="B3" s="1504"/>
      <c r="C3" s="1504"/>
      <c r="D3" s="1504"/>
      <c r="E3" s="1504"/>
    </row>
    <row r="4" spans="1:9" ht="18" customHeight="1">
      <c r="A4" s="1504" t="s">
        <v>762</v>
      </c>
      <c r="B4" s="1504"/>
      <c r="C4" s="1504"/>
      <c r="D4" s="1504"/>
      <c r="E4" s="1504"/>
    </row>
    <row r="5" spans="1:9" ht="18" customHeight="1">
      <c r="A5" s="682"/>
      <c r="B5" s="682"/>
      <c r="C5" s="682"/>
      <c r="D5" s="682"/>
    </row>
    <row r="6" spans="1:9" ht="10.5" customHeight="1">
      <c r="B6" s="683"/>
      <c r="C6" s="683"/>
      <c r="E6" s="1505" t="s">
        <v>3</v>
      </c>
      <c r="F6" s="1505"/>
    </row>
    <row r="7" spans="1:9" ht="66.75" customHeight="1">
      <c r="A7" s="684" t="s">
        <v>581</v>
      </c>
      <c r="B7" s="685" t="s">
        <v>680</v>
      </c>
      <c r="C7" s="686" t="s">
        <v>763</v>
      </c>
      <c r="D7" s="686" t="s">
        <v>764</v>
      </c>
      <c r="E7" s="687" t="s">
        <v>12</v>
      </c>
      <c r="F7" s="688" t="s">
        <v>7</v>
      </c>
    </row>
    <row r="8" spans="1:9" s="676" customFormat="1" ht="12">
      <c r="A8" s="689" t="s">
        <v>151</v>
      </c>
      <c r="B8" s="690" t="s">
        <v>595</v>
      </c>
      <c r="C8" s="691" t="s">
        <v>765</v>
      </c>
      <c r="D8" s="691" t="s">
        <v>766</v>
      </c>
      <c r="E8" s="691" t="s">
        <v>767</v>
      </c>
      <c r="F8" s="692" t="s">
        <v>768</v>
      </c>
    </row>
    <row r="9" spans="1:9" ht="18" customHeight="1">
      <c r="A9" s="693">
        <v>1</v>
      </c>
      <c r="B9" s="694" t="s">
        <v>681</v>
      </c>
      <c r="C9" s="695">
        <f>'(51) Annex. G'!C24</f>
        <v>14390747</v>
      </c>
      <c r="D9" s="696">
        <v>0</v>
      </c>
      <c r="E9" s="697">
        <f>D9+C9</f>
        <v>14390747</v>
      </c>
      <c r="F9" s="695">
        <v>11985858</v>
      </c>
    </row>
    <row r="10" spans="1:9" ht="18" customHeight="1">
      <c r="A10" s="693">
        <v>2</v>
      </c>
      <c r="B10" s="694" t="s">
        <v>769</v>
      </c>
      <c r="C10" s="695">
        <f>'(51) Annex. G'!D24-5800000</f>
        <v>15589429</v>
      </c>
      <c r="D10" s="696">
        <v>5800000</v>
      </c>
      <c r="E10" s="697">
        <f t="shared" ref="E10:F23" si="0">D10+C10</f>
        <v>21389429</v>
      </c>
      <c r="F10" s="695">
        <v>22890747</v>
      </c>
    </row>
    <row r="11" spans="1:9" s="677" customFormat="1" ht="18" customHeight="1">
      <c r="A11" s="693">
        <v>3</v>
      </c>
      <c r="B11" s="698" t="s">
        <v>770</v>
      </c>
      <c r="C11" s="695">
        <f>C10+C9</f>
        <v>29980176</v>
      </c>
      <c r="D11" s="696">
        <f>D10+D9</f>
        <v>5800000</v>
      </c>
      <c r="E11" s="697">
        <f t="shared" si="0"/>
        <v>35780176</v>
      </c>
      <c r="F11" s="699">
        <f>SUM(F9:F10)</f>
        <v>34876605</v>
      </c>
    </row>
    <row r="12" spans="1:9" ht="18" customHeight="1">
      <c r="A12" s="693">
        <v>4</v>
      </c>
      <c r="B12" s="694" t="s">
        <v>771</v>
      </c>
      <c r="C12" s="695">
        <v>0</v>
      </c>
      <c r="D12" s="696">
        <v>0</v>
      </c>
      <c r="E12" s="697">
        <f t="shared" si="0"/>
        <v>0</v>
      </c>
      <c r="F12" s="699"/>
    </row>
    <row r="13" spans="1:9" ht="18" customHeight="1">
      <c r="A13" s="693">
        <v>5</v>
      </c>
      <c r="B13" s="694" t="s">
        <v>772</v>
      </c>
      <c r="C13" s="695">
        <f>C11-C12</f>
        <v>29980176</v>
      </c>
      <c r="D13" s="696">
        <f>D11-D12</f>
        <v>5800000</v>
      </c>
      <c r="E13" s="697">
        <f t="shared" si="0"/>
        <v>35780176</v>
      </c>
      <c r="F13" s="699">
        <f>F11-F12</f>
        <v>34876605</v>
      </c>
    </row>
    <row r="14" spans="1:9" ht="18" customHeight="1">
      <c r="A14" s="693">
        <v>6</v>
      </c>
      <c r="B14" s="694" t="s">
        <v>693</v>
      </c>
      <c r="C14" s="695">
        <v>0</v>
      </c>
      <c r="D14" s="695">
        <v>0</v>
      </c>
      <c r="E14" s="697">
        <f t="shared" si="0"/>
        <v>0</v>
      </c>
      <c r="F14" s="695">
        <f t="shared" si="0"/>
        <v>0</v>
      </c>
    </row>
    <row r="15" spans="1:9" ht="18" customHeight="1">
      <c r="A15" s="693">
        <v>7</v>
      </c>
      <c r="B15" s="694" t="s">
        <v>694</v>
      </c>
      <c r="C15" s="695">
        <v>0</v>
      </c>
      <c r="D15" s="695">
        <v>0</v>
      </c>
      <c r="E15" s="697">
        <f t="shared" si="0"/>
        <v>0</v>
      </c>
      <c r="F15" s="695">
        <f t="shared" si="0"/>
        <v>0</v>
      </c>
    </row>
    <row r="16" spans="1:9" ht="18" customHeight="1">
      <c r="A16" s="693">
        <v>8</v>
      </c>
      <c r="B16" s="700" t="s">
        <v>695</v>
      </c>
      <c r="C16" s="695">
        <v>0</v>
      </c>
      <c r="D16" s="695">
        <v>0</v>
      </c>
      <c r="E16" s="697">
        <f t="shared" si="0"/>
        <v>0</v>
      </c>
      <c r="F16" s="695">
        <f t="shared" si="0"/>
        <v>0</v>
      </c>
    </row>
    <row r="17" spans="1:6" ht="18" customHeight="1">
      <c r="A17" s="693">
        <v>9</v>
      </c>
      <c r="B17" s="694" t="s">
        <v>773</v>
      </c>
      <c r="C17" s="696">
        <f>C16+C15+C14</f>
        <v>0</v>
      </c>
      <c r="D17" s="696">
        <f>D16+D15+D14</f>
        <v>0</v>
      </c>
      <c r="E17" s="697">
        <f t="shared" si="0"/>
        <v>0</v>
      </c>
      <c r="F17" s="699">
        <f>SUM(F14:F16)</f>
        <v>0</v>
      </c>
    </row>
    <row r="18" spans="1:6" ht="18" customHeight="1">
      <c r="A18" s="693">
        <v>10</v>
      </c>
      <c r="B18" s="694" t="s">
        <v>774</v>
      </c>
      <c r="C18" s="696">
        <f>C13-C17</f>
        <v>29980176</v>
      </c>
      <c r="D18" s="696">
        <f>D13-D17</f>
        <v>5800000</v>
      </c>
      <c r="E18" s="697">
        <f t="shared" si="0"/>
        <v>35780176</v>
      </c>
      <c r="F18" s="699">
        <f>F13-F17</f>
        <v>34876605</v>
      </c>
    </row>
    <row r="19" spans="1:6" ht="18" customHeight="1">
      <c r="A19" s="693">
        <v>11</v>
      </c>
      <c r="B19" s="700" t="s">
        <v>775</v>
      </c>
      <c r="C19" s="701">
        <v>0</v>
      </c>
      <c r="D19" s="696">
        <v>1785000</v>
      </c>
      <c r="E19" s="697">
        <f t="shared" si="0"/>
        <v>1785000</v>
      </c>
      <c r="F19" s="699">
        <v>2280375</v>
      </c>
    </row>
    <row r="20" spans="1:6" s="678" customFormat="1" ht="18" customHeight="1">
      <c r="A20" s="693">
        <v>12</v>
      </c>
      <c r="B20" s="698" t="s">
        <v>776</v>
      </c>
      <c r="C20" s="695">
        <f>C18-C19</f>
        <v>29980176</v>
      </c>
      <c r="D20" s="696">
        <f>D18-D19</f>
        <v>4015000</v>
      </c>
      <c r="E20" s="697">
        <f t="shared" si="0"/>
        <v>33995176</v>
      </c>
      <c r="F20" s="696">
        <f>F18-F19</f>
        <v>32596230</v>
      </c>
    </row>
    <row r="21" spans="1:6" s="678" customFormat="1" ht="18" customHeight="1">
      <c r="A21" s="693">
        <v>13</v>
      </c>
      <c r="B21" s="694" t="s">
        <v>777</v>
      </c>
      <c r="C21" s="695">
        <f>C12+C17+C19</f>
        <v>0</v>
      </c>
      <c r="D21" s="696">
        <f>D12+D17+D19</f>
        <v>1785000</v>
      </c>
      <c r="E21" s="697">
        <f t="shared" si="0"/>
        <v>1785000</v>
      </c>
      <c r="F21" s="696">
        <f>F12+F17+F19</f>
        <v>2280375</v>
      </c>
    </row>
    <row r="22" spans="1:6" ht="18" customHeight="1">
      <c r="A22" s="693">
        <v>14</v>
      </c>
      <c r="B22" s="694" t="s">
        <v>778</v>
      </c>
      <c r="C22" s="695">
        <f>'(51) Annex. G'!G24-4015000</f>
        <v>14390747</v>
      </c>
      <c r="D22" s="696">
        <v>4015000</v>
      </c>
      <c r="E22" s="697">
        <f t="shared" si="0"/>
        <v>18405747</v>
      </c>
      <c r="F22" s="699">
        <v>18205483</v>
      </c>
    </row>
    <row r="23" spans="1:6" ht="18" customHeight="1">
      <c r="A23" s="702">
        <v>15</v>
      </c>
      <c r="B23" s="703" t="s">
        <v>779</v>
      </c>
      <c r="C23" s="704">
        <f>C20-C22</f>
        <v>15589429</v>
      </c>
      <c r="D23" s="704">
        <f>D20-D22</f>
        <v>0</v>
      </c>
      <c r="E23" s="705">
        <f t="shared" si="0"/>
        <v>15589429</v>
      </c>
      <c r="F23" s="704">
        <f>F20-F22</f>
        <v>14390747</v>
      </c>
    </row>
    <row r="24" spans="1:6" s="679" customFormat="1">
      <c r="A24" s="706"/>
      <c r="B24" s="707"/>
      <c r="C24" s="707"/>
      <c r="D24" s="706"/>
    </row>
    <row r="26" spans="1:6">
      <c r="D26" s="683"/>
    </row>
    <row r="27" spans="1:6" ht="15">
      <c r="D27" s="708"/>
      <c r="E27" s="708"/>
      <c r="F27" s="355" t="s">
        <v>20</v>
      </c>
    </row>
  </sheetData>
  <customSheetViews>
    <customSheetView guid="{B1076A3F-74CA-4685-9B64-0249438E4A9A}" scale="93" showPageBreaks="1" fitToPage="1" printArea="1" view="pageBreakPreview">
      <selection activeCell="C21" sqref="C21"/>
      <pageMargins left="0.7" right="0.7" top="0.75" bottom="0.75" header="0.3" footer="0.3"/>
      <printOptions horizontalCentered="1" verticalCentered="1"/>
      <pageSetup paperSize="9" fitToHeight="0" orientation="landscape"/>
    </customSheetView>
    <customSheetView guid="{789595AE-36A2-4B02-81C2-3D94932E7381}" scale="93" showPageBreaks="1" fitToPage="1" printArea="1" view="pageBreakPreview">
      <selection activeCell="C21" sqref="C21"/>
      <pageMargins left="0.7" right="0.7" top="0.75" bottom="0.75" header="0.3" footer="0.3"/>
      <printOptions horizontalCentered="1" verticalCentered="1"/>
      <pageSetup paperSize="9" fitToHeight="0" orientation="landscape"/>
    </customSheetView>
  </customSheetViews>
  <mergeCells count="5">
    <mergeCell ref="A1:E1"/>
    <mergeCell ref="A2:E2"/>
    <mergeCell ref="A3:E3"/>
    <mergeCell ref="A4:E4"/>
    <mergeCell ref="E6:F6"/>
  </mergeCells>
  <printOptions horizontalCentered="1" verticalCentered="1"/>
  <pageMargins left="0" right="0" top="0" bottom="0" header="0.35433070866141703" footer="0.31496062992126"/>
  <pageSetup paperSize="9" scale="99"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1"/>
  </sheetPr>
  <dimension ref="A1:K30"/>
  <sheetViews>
    <sheetView view="pageBreakPreview" zoomScale="120" zoomScaleNormal="115" workbookViewId="0">
      <selection activeCell="F9" sqref="F9"/>
    </sheetView>
  </sheetViews>
  <sheetFormatPr defaultColWidth="9.140625" defaultRowHeight="12.75"/>
  <cols>
    <col min="1" max="1" width="5.28515625" style="402" customWidth="1"/>
    <col min="2" max="2" width="49.42578125" style="402" customWidth="1"/>
    <col min="3" max="3" width="19.28515625" style="402" customWidth="1"/>
    <col min="4" max="4" width="17.5703125" style="402" customWidth="1"/>
    <col min="5" max="5" width="10.5703125" style="380" customWidth="1"/>
    <col min="6" max="6" width="19.28515625" style="402" customWidth="1"/>
    <col min="7" max="7" width="14.42578125" style="402" customWidth="1"/>
    <col min="8" max="8" width="16.7109375" style="402" customWidth="1"/>
    <col min="9" max="16384" width="9.140625" style="402"/>
  </cols>
  <sheetData>
    <row r="1" spans="1:11" ht="19.5">
      <c r="A1" s="1378" t="s">
        <v>780</v>
      </c>
      <c r="B1" s="1378"/>
      <c r="C1" s="1378"/>
      <c r="D1" s="1378"/>
      <c r="E1" s="1378"/>
      <c r="F1" s="1378"/>
      <c r="I1" s="78"/>
      <c r="J1" s="78"/>
      <c r="K1" s="78"/>
    </row>
    <row r="2" spans="1:11" ht="19.5">
      <c r="A2" s="1378" t="s">
        <v>781</v>
      </c>
      <c r="B2" s="1378"/>
      <c r="C2" s="1378"/>
      <c r="D2" s="1378"/>
      <c r="E2" s="1378"/>
      <c r="F2" s="1378"/>
      <c r="I2" s="78"/>
      <c r="J2" s="78"/>
      <c r="K2" s="78"/>
    </row>
    <row r="3" spans="1:11">
      <c r="B3" s="380"/>
      <c r="C3" s="380"/>
      <c r="D3" s="380"/>
      <c r="I3" s="78"/>
      <c r="J3" s="78"/>
      <c r="K3" s="78"/>
    </row>
    <row r="4" spans="1:11" ht="18.75">
      <c r="A4" s="1501" t="s">
        <v>782</v>
      </c>
      <c r="B4" s="1501"/>
      <c r="C4" s="1501"/>
      <c r="D4" s="1501"/>
      <c r="E4" s="1501"/>
      <c r="F4" s="1501"/>
      <c r="G4" s="78"/>
    </row>
    <row r="5" spans="1:11" ht="18.75">
      <c r="A5" s="1501" t="s">
        <v>762</v>
      </c>
      <c r="B5" s="1501"/>
      <c r="C5" s="1501"/>
      <c r="D5" s="1501"/>
      <c r="E5" s="1501"/>
      <c r="F5" s="1501"/>
      <c r="G5" s="78"/>
    </row>
    <row r="6" spans="1:11">
      <c r="A6" s="570"/>
      <c r="B6" s="570"/>
      <c r="C6" s="570"/>
      <c r="D6" s="570"/>
      <c r="E6" s="356"/>
      <c r="F6" s="645"/>
      <c r="G6" s="78"/>
    </row>
    <row r="7" spans="1:11">
      <c r="A7" s="570"/>
      <c r="B7" s="570"/>
      <c r="C7" s="570"/>
      <c r="D7" s="570"/>
      <c r="E7" s="1424" t="s">
        <v>68</v>
      </c>
      <c r="F7" s="1506"/>
      <c r="G7" s="78"/>
    </row>
    <row r="8" spans="1:11" s="639" customFormat="1" ht="18" customHeight="1">
      <c r="A8" s="647"/>
      <c r="B8" s="542" t="s">
        <v>680</v>
      </c>
      <c r="C8" s="1355" t="s">
        <v>6</v>
      </c>
      <c r="D8" s="1355"/>
      <c r="E8" s="1355"/>
      <c r="F8" s="648" t="s">
        <v>7</v>
      </c>
    </row>
    <row r="9" spans="1:11" s="640" customFormat="1" ht="108" customHeight="1">
      <c r="A9" s="649"/>
      <c r="B9" s="650"/>
      <c r="C9" s="651" t="s">
        <v>783</v>
      </c>
      <c r="D9" s="652" t="s">
        <v>784</v>
      </c>
      <c r="E9" s="545" t="s">
        <v>785</v>
      </c>
      <c r="F9" s="653"/>
    </row>
    <row r="10" spans="1:11" s="592" customFormat="1">
      <c r="A10" s="614">
        <v>1</v>
      </c>
      <c r="B10" s="391" t="s">
        <v>681</v>
      </c>
      <c r="C10" s="394"/>
      <c r="D10" s="394"/>
      <c r="E10" s="654"/>
      <c r="F10" s="655"/>
      <c r="G10" s="656"/>
      <c r="H10" s="657"/>
    </row>
    <row r="11" spans="1:11" s="592" customFormat="1" hidden="1">
      <c r="A11" s="614"/>
      <c r="B11" s="391" t="s">
        <v>786</v>
      </c>
      <c r="C11" s="394"/>
      <c r="D11" s="394"/>
      <c r="E11" s="654"/>
      <c r="F11" s="655"/>
      <c r="G11" s="656"/>
      <c r="H11" s="657"/>
    </row>
    <row r="12" spans="1:11" ht="25.5">
      <c r="A12" s="614">
        <v>2</v>
      </c>
      <c r="B12" s="658" t="s">
        <v>787</v>
      </c>
      <c r="C12" s="394"/>
      <c r="D12" s="394"/>
      <c r="E12" s="654"/>
      <c r="F12" s="655"/>
      <c r="G12" s="659"/>
      <c r="H12" s="657"/>
    </row>
    <row r="13" spans="1:11">
      <c r="A13" s="614">
        <v>3</v>
      </c>
      <c r="B13" s="85" t="s">
        <v>788</v>
      </c>
      <c r="C13" s="342"/>
      <c r="D13" s="342"/>
      <c r="E13" s="342"/>
      <c r="F13" s="429">
        <f>SUM(F10:F12)</f>
        <v>0</v>
      </c>
      <c r="G13" s="659"/>
      <c r="H13" s="657"/>
    </row>
    <row r="14" spans="1:11" s="641" customFormat="1">
      <c r="A14" s="614">
        <v>4</v>
      </c>
      <c r="B14" s="391" t="s">
        <v>789</v>
      </c>
      <c r="C14" s="394"/>
      <c r="D14" s="394"/>
      <c r="E14" s="654"/>
      <c r="F14" s="655"/>
      <c r="G14" s="660"/>
      <c r="H14" s="657"/>
    </row>
    <row r="15" spans="1:11">
      <c r="A15" s="614">
        <v>5</v>
      </c>
      <c r="B15" s="85" t="s">
        <v>772</v>
      </c>
      <c r="C15" s="342"/>
      <c r="D15" s="342"/>
      <c r="E15" s="661"/>
      <c r="F15" s="429"/>
      <c r="G15" s="659"/>
      <c r="H15" s="657"/>
    </row>
    <row r="16" spans="1:11">
      <c r="A16" s="614">
        <v>6</v>
      </c>
      <c r="B16" s="391" t="s">
        <v>693</v>
      </c>
      <c r="C16" s="394"/>
      <c r="D16" s="394"/>
      <c r="E16" s="654"/>
      <c r="F16" s="655"/>
      <c r="G16" s="662"/>
      <c r="H16" s="663"/>
    </row>
    <row r="17" spans="1:8">
      <c r="A17" s="614">
        <v>7</v>
      </c>
      <c r="B17" s="391" t="s">
        <v>694</v>
      </c>
      <c r="C17" s="394"/>
      <c r="D17" s="394"/>
      <c r="E17" s="654"/>
      <c r="F17" s="655"/>
      <c r="G17" s="662"/>
      <c r="H17" s="657"/>
    </row>
    <row r="18" spans="1:8" s="642" customFormat="1">
      <c r="A18" s="614">
        <v>8</v>
      </c>
      <c r="B18" s="391" t="s">
        <v>695</v>
      </c>
      <c r="C18" s="394"/>
      <c r="D18" s="394"/>
      <c r="E18" s="654"/>
      <c r="F18" s="655"/>
      <c r="G18" s="664"/>
      <c r="H18" s="657"/>
    </row>
    <row r="19" spans="1:8">
      <c r="A19" s="614">
        <v>9</v>
      </c>
      <c r="B19" s="85" t="s">
        <v>773</v>
      </c>
      <c r="C19" s="342"/>
      <c r="D19" s="342"/>
      <c r="E19" s="661"/>
      <c r="F19" s="429">
        <f>SUM(F16:F18)</f>
        <v>0</v>
      </c>
      <c r="G19" s="662"/>
      <c r="H19" s="657"/>
    </row>
    <row r="20" spans="1:8">
      <c r="A20" s="614">
        <v>10</v>
      </c>
      <c r="B20" s="85" t="s">
        <v>790</v>
      </c>
      <c r="C20" s="342"/>
      <c r="D20" s="342"/>
      <c r="E20" s="661"/>
      <c r="F20" s="429">
        <f>F15-F19</f>
        <v>0</v>
      </c>
      <c r="G20" s="662"/>
      <c r="H20" s="657"/>
    </row>
    <row r="21" spans="1:8">
      <c r="A21" s="614">
        <v>11</v>
      </c>
      <c r="B21" s="391" t="s">
        <v>775</v>
      </c>
      <c r="C21" s="394"/>
      <c r="D21" s="394"/>
      <c r="E21" s="654"/>
      <c r="F21" s="655"/>
      <c r="G21" s="662"/>
      <c r="H21" s="657"/>
    </row>
    <row r="22" spans="1:8" s="643" customFormat="1">
      <c r="A22" s="665">
        <v>12</v>
      </c>
      <c r="B22" s="85" t="s">
        <v>791</v>
      </c>
      <c r="C22" s="666"/>
      <c r="D22" s="666"/>
      <c r="E22" s="661"/>
      <c r="F22" s="667">
        <f>F20-F21</f>
        <v>0</v>
      </c>
      <c r="G22" s="668"/>
      <c r="H22" s="657"/>
    </row>
    <row r="23" spans="1:8">
      <c r="A23" s="614">
        <v>13</v>
      </c>
      <c r="B23" s="85" t="s">
        <v>777</v>
      </c>
      <c r="C23" s="342"/>
      <c r="D23" s="342"/>
      <c r="E23" s="661"/>
      <c r="F23" s="429"/>
      <c r="G23" s="662"/>
      <c r="H23" s="657"/>
    </row>
    <row r="24" spans="1:8" s="592" customFormat="1">
      <c r="A24" s="614">
        <v>14</v>
      </c>
      <c r="B24" s="391" t="s">
        <v>792</v>
      </c>
      <c r="C24" s="394"/>
      <c r="D24" s="394"/>
      <c r="E24" s="654"/>
      <c r="F24" s="655"/>
      <c r="G24" s="656"/>
      <c r="H24" s="657"/>
    </row>
    <row r="25" spans="1:8" s="639" customFormat="1" ht="15.75">
      <c r="A25" s="669">
        <v>15</v>
      </c>
      <c r="B25" s="670" t="s">
        <v>793</v>
      </c>
      <c r="C25" s="671">
        <f>+C22-C24</f>
        <v>0</v>
      </c>
      <c r="D25" s="671">
        <f>+D22-D24</f>
        <v>0</v>
      </c>
      <c r="E25" s="672">
        <f>+C25+D25</f>
        <v>0</v>
      </c>
      <c r="F25" s="673">
        <f>F22-F24</f>
        <v>0</v>
      </c>
      <c r="G25" s="674"/>
      <c r="H25" s="675"/>
    </row>
    <row r="26" spans="1:8">
      <c r="A26" s="570"/>
      <c r="B26" s="570"/>
      <c r="C26" s="352"/>
      <c r="D26" s="352"/>
      <c r="E26" s="409"/>
      <c r="F26" s="570"/>
    </row>
    <row r="27" spans="1:8">
      <c r="A27" s="570"/>
      <c r="B27" s="570"/>
      <c r="C27" s="352"/>
      <c r="D27" s="570"/>
      <c r="E27" s="409"/>
      <c r="F27" s="570"/>
    </row>
    <row r="28" spans="1:8">
      <c r="A28" s="570"/>
      <c r="B28" s="570"/>
      <c r="C28" s="570"/>
      <c r="D28" s="352"/>
      <c r="E28" s="356"/>
      <c r="F28" s="172" t="s">
        <v>794</v>
      </c>
    </row>
    <row r="29" spans="1:8">
      <c r="A29" s="570"/>
      <c r="B29" s="570"/>
      <c r="C29" s="570"/>
      <c r="D29" s="570"/>
      <c r="E29" s="356"/>
      <c r="F29" s="570"/>
    </row>
    <row r="30" spans="1:8">
      <c r="A30" s="570"/>
      <c r="B30" s="570"/>
      <c r="C30" s="570"/>
      <c r="D30" s="570"/>
      <c r="E30" s="409"/>
      <c r="F30" s="570"/>
    </row>
  </sheetData>
  <customSheetViews>
    <customSheetView guid="{B1076A3F-74CA-4685-9B64-0249438E4A9A}" scale="120" showPageBreaks="1" printArea="1" hiddenRows="1" state="hidden" view="pageBreakPreview">
      <selection activeCell="F9" sqref="F9"/>
      <colBreaks count="1" manualBreakCount="1">
        <brk id="6" max="31" man="1"/>
      </colBreaks>
      <pageMargins left="0" right="0" top="0" bottom="0" header="0.511811023622047" footer="0.66929133858267698"/>
      <printOptions horizontalCentered="1" verticalCentered="1"/>
      <pageSetup paperSize="9" scale="115" orientation="landscape"/>
      <headerFooter alignWithMargins="0"/>
    </customSheetView>
    <customSheetView guid="{789595AE-36A2-4B02-81C2-3D94932E7381}" scale="120" showPageBreaks="1" printArea="1" hiddenRows="1" state="hidden" view="pageBreakPreview">
      <selection activeCell="F9" sqref="F9"/>
      <colBreaks count="1" manualBreakCount="1">
        <brk id="6" max="31" man="1"/>
      </colBreaks>
      <pageMargins left="0" right="0" top="0" bottom="0" header="0.511811023622047" footer="0.66929133858267698"/>
      <printOptions horizontalCentered="1" verticalCentered="1"/>
      <pageSetup paperSize="9" scale="115" orientation="landscape"/>
      <headerFooter alignWithMargins="0"/>
    </customSheetView>
  </customSheetViews>
  <mergeCells count="6">
    <mergeCell ref="C8:E8"/>
    <mergeCell ref="A1:F1"/>
    <mergeCell ref="A2:F2"/>
    <mergeCell ref="A4:F4"/>
    <mergeCell ref="A5:F5"/>
    <mergeCell ref="E7:F7"/>
  </mergeCells>
  <printOptions horizontalCentered="1" verticalCentered="1"/>
  <pageMargins left="0" right="0" top="0" bottom="0" header="0.511811023622047" footer="0.66929133858267698"/>
  <pageSetup paperSize="9" scale="115" orientation="landscape" r:id="rId1"/>
  <headerFooter alignWithMargins="0"/>
  <colBreaks count="1" manualBreakCount="1">
    <brk id="6" max="31"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C20"/>
  <sheetViews>
    <sheetView view="pageBreakPreview" zoomScaleNormal="100" workbookViewId="0">
      <selection activeCell="F20" sqref="F20"/>
    </sheetView>
  </sheetViews>
  <sheetFormatPr defaultColWidth="9" defaultRowHeight="12.75"/>
  <cols>
    <col min="1" max="1" width="8.7109375" customWidth="1"/>
    <col min="2" max="2" width="103.7109375" customWidth="1"/>
    <col min="3" max="3" width="14.42578125" customWidth="1"/>
  </cols>
  <sheetData>
    <row r="1" spans="1:3" ht="22.5">
      <c r="A1" s="1507" t="s">
        <v>0</v>
      </c>
      <c r="B1" s="1507"/>
      <c r="C1" s="1507"/>
    </row>
    <row r="2" spans="1:3" ht="22.5">
      <c r="A2" s="1507" t="s">
        <v>795</v>
      </c>
      <c r="B2" s="1507"/>
      <c r="C2" s="1507"/>
    </row>
    <row r="3" spans="1:3">
      <c r="A3" s="382"/>
      <c r="B3" s="382"/>
      <c r="C3" s="382"/>
    </row>
    <row r="4" spans="1:3">
      <c r="A4" s="382"/>
      <c r="B4" s="382"/>
      <c r="C4" s="382"/>
    </row>
    <row r="5" spans="1:3">
      <c r="A5" s="382"/>
      <c r="B5" s="382"/>
      <c r="C5" s="382"/>
    </row>
    <row r="6" spans="1:3" ht="54">
      <c r="A6" s="626" t="s">
        <v>796</v>
      </c>
      <c r="B6" s="627" t="s">
        <v>797</v>
      </c>
      <c r="C6" s="628" t="s">
        <v>730</v>
      </c>
    </row>
    <row r="7" spans="1:3" ht="20.25">
      <c r="A7" s="629"/>
      <c r="B7" s="630"/>
      <c r="C7" s="631"/>
    </row>
    <row r="8" spans="1:3" ht="18">
      <c r="A8" s="632">
        <v>1</v>
      </c>
      <c r="B8" s="633" t="s">
        <v>798</v>
      </c>
      <c r="C8" s="634" t="s">
        <v>799</v>
      </c>
    </row>
    <row r="9" spans="1:3" ht="18">
      <c r="A9" s="632">
        <v>2</v>
      </c>
      <c r="B9" s="635" t="s">
        <v>800</v>
      </c>
      <c r="C9" s="634" t="s">
        <v>801</v>
      </c>
    </row>
    <row r="10" spans="1:3" ht="18">
      <c r="A10" s="632">
        <v>3</v>
      </c>
      <c r="B10" s="635" t="s">
        <v>802</v>
      </c>
      <c r="C10" s="634" t="s">
        <v>803</v>
      </c>
    </row>
    <row r="11" spans="1:3" ht="18">
      <c r="A11" s="632">
        <v>4</v>
      </c>
      <c r="B11" s="635" t="s">
        <v>804</v>
      </c>
      <c r="C11" s="634" t="s">
        <v>805</v>
      </c>
    </row>
    <row r="12" spans="1:3" ht="18">
      <c r="A12" s="632">
        <v>5</v>
      </c>
      <c r="B12" s="635" t="s">
        <v>806</v>
      </c>
      <c r="C12" s="634" t="s">
        <v>807</v>
      </c>
    </row>
    <row r="13" spans="1:3" ht="18">
      <c r="A13" s="632">
        <v>6</v>
      </c>
      <c r="B13" s="635" t="s">
        <v>808</v>
      </c>
      <c r="C13" s="634" t="s">
        <v>809</v>
      </c>
    </row>
    <row r="14" spans="1:3" ht="18">
      <c r="A14" s="632">
        <v>7</v>
      </c>
      <c r="B14" s="635" t="s">
        <v>810</v>
      </c>
      <c r="C14" s="634" t="s">
        <v>811</v>
      </c>
    </row>
    <row r="15" spans="1:3" ht="18">
      <c r="A15" s="632">
        <v>8</v>
      </c>
      <c r="B15" s="635" t="s">
        <v>812</v>
      </c>
      <c r="C15" s="634" t="s">
        <v>813</v>
      </c>
    </row>
    <row r="16" spans="1:3" ht="18">
      <c r="A16" s="632">
        <v>9</v>
      </c>
      <c r="B16" s="635" t="s">
        <v>814</v>
      </c>
      <c r="C16" s="634" t="s">
        <v>815</v>
      </c>
    </row>
    <row r="17" spans="1:3" ht="18">
      <c r="A17" s="632">
        <v>10</v>
      </c>
      <c r="B17" s="635" t="s">
        <v>816</v>
      </c>
      <c r="C17" s="634" t="s">
        <v>817</v>
      </c>
    </row>
    <row r="18" spans="1:3" ht="18">
      <c r="A18" s="632">
        <v>11</v>
      </c>
      <c r="B18" s="635" t="s">
        <v>818</v>
      </c>
      <c r="C18" s="636">
        <v>1270</v>
      </c>
    </row>
    <row r="19" spans="1:3" ht="18">
      <c r="A19" s="632">
        <v>12</v>
      </c>
      <c r="B19" s="635" t="s">
        <v>819</v>
      </c>
      <c r="C19" s="634" t="s">
        <v>820</v>
      </c>
    </row>
    <row r="20" spans="1:3" ht="18">
      <c r="A20" s="632">
        <v>13</v>
      </c>
      <c r="B20" s="637" t="s">
        <v>587</v>
      </c>
      <c r="C20" s="638">
        <v>3555</v>
      </c>
    </row>
  </sheetData>
  <mergeCells count="2">
    <mergeCell ref="A1:C1"/>
    <mergeCell ref="A2:C2"/>
  </mergeCells>
  <printOptions horizontalCentered="1" verticalCentered="1"/>
  <pageMargins left="0" right="0" top="0" bottom="0" header="0.35433070866141703" footer="0.31496062992126"/>
  <pageSetup paperSize="9" scale="9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23"/>
  <sheetViews>
    <sheetView view="pageBreakPreview" zoomScale="130" zoomScaleNormal="100" workbookViewId="0">
      <selection activeCell="A18" sqref="A18"/>
    </sheetView>
  </sheetViews>
  <sheetFormatPr defaultColWidth="9" defaultRowHeight="12.75"/>
  <cols>
    <col min="1" max="1" width="44" style="380" customWidth="1"/>
    <col min="2" max="3" width="20" customWidth="1"/>
  </cols>
  <sheetData>
    <row r="1" spans="1:9" ht="18" customHeight="1">
      <c r="A1" s="1502" t="s">
        <v>1910</v>
      </c>
      <c r="B1" s="1502"/>
      <c r="C1" s="1502"/>
      <c r="D1" s="622"/>
    </row>
    <row r="2" spans="1:9" ht="16.5" customHeight="1">
      <c r="A2" s="1502" t="s">
        <v>43</v>
      </c>
      <c r="B2" s="1502"/>
      <c r="C2" s="1502"/>
      <c r="D2" s="622"/>
    </row>
    <row r="3" spans="1:9" ht="18">
      <c r="A3" s="1508"/>
      <c r="B3" s="1508"/>
      <c r="C3" s="1508"/>
      <c r="D3" s="623"/>
    </row>
    <row r="4" spans="1:9">
      <c r="A4" s="356"/>
      <c r="B4" s="570"/>
      <c r="C4" s="385" t="s">
        <v>68</v>
      </c>
    </row>
    <row r="5" spans="1:9" s="605" customFormat="1" ht="24" customHeight="1">
      <c r="A5" s="569" t="s">
        <v>821</v>
      </c>
      <c r="B5" s="542" t="s">
        <v>6</v>
      </c>
      <c r="C5" s="561" t="s">
        <v>7</v>
      </c>
      <c r="I5"/>
    </row>
    <row r="6" spans="1:9" ht="15">
      <c r="A6" s="393" t="s">
        <v>822</v>
      </c>
      <c r="B6" s="394">
        <v>0</v>
      </c>
      <c r="C6" s="395"/>
    </row>
    <row r="7" spans="1:9" ht="15">
      <c r="A7" s="393"/>
      <c r="B7" s="394"/>
      <c r="C7" s="395"/>
    </row>
    <row r="8" spans="1:9" ht="15">
      <c r="A8" s="393" t="s">
        <v>823</v>
      </c>
      <c r="B8" s="394">
        <v>0</v>
      </c>
      <c r="C8" s="395"/>
    </row>
    <row r="9" spans="1:9" ht="15">
      <c r="A9" s="393"/>
      <c r="B9" s="394"/>
      <c r="C9" s="395"/>
    </row>
    <row r="10" spans="1:9" ht="15">
      <c r="A10" s="393" t="s">
        <v>824</v>
      </c>
      <c r="B10" s="394">
        <v>0</v>
      </c>
      <c r="C10" s="395"/>
    </row>
    <row r="11" spans="1:9" ht="15">
      <c r="A11" s="393"/>
      <c r="B11" s="394"/>
      <c r="C11" s="395"/>
    </row>
    <row r="12" spans="1:9" ht="15">
      <c r="A12" s="393" t="s">
        <v>825</v>
      </c>
      <c r="B12" s="394">
        <v>0</v>
      </c>
      <c r="C12" s="395"/>
    </row>
    <row r="13" spans="1:9" ht="15">
      <c r="A13" s="393"/>
      <c r="B13" s="394"/>
      <c r="C13" s="395"/>
    </row>
    <row r="14" spans="1:9" ht="15">
      <c r="A14" s="393" t="s">
        <v>826</v>
      </c>
      <c r="B14" s="394">
        <v>0</v>
      </c>
      <c r="C14" s="395"/>
    </row>
    <row r="15" spans="1:9" ht="15">
      <c r="A15" s="393"/>
      <c r="B15" s="394"/>
      <c r="C15" s="395"/>
    </row>
    <row r="16" spans="1:9" ht="15">
      <c r="A16" s="393" t="s">
        <v>827</v>
      </c>
      <c r="B16" s="394">
        <v>0</v>
      </c>
      <c r="C16" s="395"/>
    </row>
    <row r="17" spans="1:4" ht="15">
      <c r="A17" s="393"/>
      <c r="B17" s="394"/>
      <c r="C17" s="395"/>
      <c r="D17">
        <f>SUM(D9:D16)</f>
        <v>0</v>
      </c>
    </row>
    <row r="18" spans="1:4" ht="15">
      <c r="A18" s="393" t="s">
        <v>828</v>
      </c>
      <c r="B18" s="394">
        <v>0</v>
      </c>
      <c r="C18" s="395"/>
    </row>
    <row r="19" spans="1:4" ht="15">
      <c r="A19" s="624"/>
      <c r="B19" s="579"/>
      <c r="C19" s="625"/>
    </row>
    <row r="20" spans="1:4" ht="15.75">
      <c r="A20" s="595" t="s">
        <v>12</v>
      </c>
      <c r="B20" s="417">
        <f>SUM(B6:B18)</f>
        <v>0</v>
      </c>
      <c r="C20" s="430">
        <f>SUM(C6:C18)</f>
        <v>0</v>
      </c>
    </row>
    <row r="21" spans="1:4">
      <c r="A21" s="356"/>
      <c r="B21" s="570"/>
      <c r="C21" s="570"/>
    </row>
    <row r="22" spans="1:4">
      <c r="A22" s="356"/>
      <c r="B22" s="570"/>
      <c r="C22" s="354"/>
    </row>
    <row r="23" spans="1:4">
      <c r="A23" s="356"/>
      <c r="B23" s="570"/>
      <c r="C23" s="355" t="s">
        <v>20</v>
      </c>
    </row>
  </sheetData>
  <customSheetViews>
    <customSheetView guid="{B1076A3F-74CA-4685-9B64-0249438E4A9A}" scale="145" showPageBreaks="1" printArea="1" view="pageBreakPreview" topLeftCell="A25">
      <selection activeCell="C23" sqref="C23"/>
      <pageMargins left="0" right="0" top="0" bottom="0" header="0.511811023622047" footer="0.511811023622047"/>
      <printOptions horizontalCentered="1" verticalCentered="1"/>
      <pageSetup paperSize="9" scale="165" orientation="landscape"/>
      <headerFooter alignWithMargins="0"/>
    </customSheetView>
    <customSheetView guid="{789595AE-36A2-4B02-81C2-3D94932E7381}" scale="145" showPageBreaks="1" printArea="1" view="pageBreakPreview" topLeftCell="A25">
      <selection activeCell="C23" sqref="C23"/>
      <pageMargins left="0" right="0" top="0" bottom="0" header="0.511811023622047" footer="0.511811023622047"/>
      <printOptions horizontalCentered="1" verticalCentered="1"/>
      <pageSetup paperSize="9" scale="165" orientation="landscape"/>
      <headerFooter alignWithMargins="0"/>
    </customSheetView>
  </customSheetViews>
  <mergeCells count="3">
    <mergeCell ref="A1:C1"/>
    <mergeCell ref="A2:C2"/>
    <mergeCell ref="A3:C3"/>
  </mergeCells>
  <printOptions horizontalCentered="1" verticalCentered="1"/>
  <pageMargins left="0" right="0" top="0" bottom="0" header="0.35433070866141703" footer="0.31496062992126"/>
  <pageSetup paperSize="9" scale="9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
  <sheetViews>
    <sheetView view="pageBreakPreview" zoomScale="90" zoomScaleNormal="90" workbookViewId="0">
      <selection activeCell="F17" sqref="F17"/>
    </sheetView>
  </sheetViews>
  <sheetFormatPr defaultColWidth="67.5703125" defaultRowHeight="15.75"/>
  <cols>
    <col min="1" max="1" width="46.7109375" style="1024" customWidth="1"/>
    <col min="2" max="2" width="22.42578125" style="1025" customWidth="1"/>
    <col min="3" max="3" width="25.140625" style="1025" customWidth="1"/>
    <col min="4" max="4" width="14.85546875" style="1025" customWidth="1"/>
    <col min="5" max="5" width="12.7109375" style="1025" customWidth="1"/>
    <col min="6" max="6" width="13.7109375" style="1025" customWidth="1"/>
    <col min="7" max="7" width="7" style="1025" customWidth="1"/>
    <col min="8" max="8" width="14.28515625" style="1025" customWidth="1"/>
    <col min="9" max="9" width="11.140625" style="1025" customWidth="1"/>
    <col min="10" max="16384" width="67.5703125" style="1025"/>
  </cols>
  <sheetData>
    <row r="1" spans="1:10" customFormat="1">
      <c r="A1" s="1322" t="s">
        <v>1910</v>
      </c>
      <c r="B1" s="1323"/>
      <c r="C1" s="1323"/>
      <c r="D1" s="1323"/>
    </row>
    <row r="2" spans="1:10" ht="19.5">
      <c r="A2" s="1343" t="s">
        <v>43</v>
      </c>
      <c r="B2" s="1343"/>
      <c r="C2" s="1343"/>
      <c r="D2" s="1343"/>
      <c r="E2" s="1027"/>
      <c r="F2" s="1027"/>
    </row>
    <row r="3" spans="1:10" ht="21.75" customHeight="1">
      <c r="A3" s="1026"/>
      <c r="B3" s="1026"/>
      <c r="C3" s="1028" t="s">
        <v>3</v>
      </c>
      <c r="D3" s="1027"/>
      <c r="E3" s="1027"/>
      <c r="F3" s="1027"/>
    </row>
    <row r="4" spans="1:10" s="1024" customFormat="1" ht="20.25" customHeight="1">
      <c r="A4" s="1350" t="s">
        <v>44</v>
      </c>
      <c r="B4" s="1351"/>
      <c r="C4" s="1352"/>
      <c r="D4" s="1029"/>
      <c r="E4" s="1029"/>
      <c r="F4" s="1029"/>
    </row>
    <row r="5" spans="1:10" ht="15.95" customHeight="1">
      <c r="A5" s="1030"/>
      <c r="B5" s="1031" t="s">
        <v>6</v>
      </c>
      <c r="C5" s="1032" t="s">
        <v>7</v>
      </c>
      <c r="D5" s="1027"/>
      <c r="E5" s="1027"/>
      <c r="F5" s="1027"/>
    </row>
    <row r="6" spans="1:10" ht="14.25" customHeight="1">
      <c r="A6" s="1033" t="s">
        <v>45</v>
      </c>
      <c r="B6" s="1034"/>
      <c r="C6" s="1035"/>
      <c r="D6" s="1036"/>
      <c r="E6" s="1027"/>
      <c r="F6" s="1027"/>
    </row>
    <row r="7" spans="1:10" ht="15.75" customHeight="1">
      <c r="A7" s="1037" t="s">
        <v>46</v>
      </c>
      <c r="B7" s="1038">
        <v>602102076</v>
      </c>
      <c r="C7" s="1039">
        <v>572748609</v>
      </c>
      <c r="D7" s="1027"/>
      <c r="E7" s="1027"/>
      <c r="F7" s="1027"/>
      <c r="I7" s="1107"/>
    </row>
    <row r="8" spans="1:10" ht="18" customHeight="1">
      <c r="A8" s="1037" t="s">
        <v>47</v>
      </c>
      <c r="B8" s="1038">
        <v>25927503</v>
      </c>
      <c r="C8" s="1039">
        <v>29686469</v>
      </c>
      <c r="D8" s="1027"/>
      <c r="E8" s="1027"/>
      <c r="F8" s="1027"/>
    </row>
    <row r="9" spans="1:10" ht="31.5" customHeight="1">
      <c r="A9" s="1037" t="s">
        <v>48</v>
      </c>
      <c r="B9" s="1038">
        <f>'(13) 5-E'!C48</f>
        <v>1919724</v>
      </c>
      <c r="C9" s="1039">
        <v>56876776</v>
      </c>
      <c r="D9" s="1027"/>
      <c r="E9" s="1027"/>
      <c r="F9" s="1027"/>
    </row>
    <row r="10" spans="1:10" ht="30" customHeight="1">
      <c r="A10" s="1037" t="s">
        <v>49</v>
      </c>
      <c r="B10" s="1038">
        <f>'(2) IE'!C28</f>
        <v>-47467458.570000052</v>
      </c>
      <c r="C10" s="1039">
        <v>-44366215</v>
      </c>
      <c r="D10" s="1036"/>
      <c r="E10" s="1027"/>
      <c r="F10" s="1027"/>
      <c r="J10" s="1107"/>
    </row>
    <row r="11" spans="1:10" ht="19.5" customHeight="1">
      <c r="A11" s="1037" t="s">
        <v>50</v>
      </c>
      <c r="B11" s="1040">
        <f>-('(45) Annex. A'!C36-0-'(45) Annex. A'!C34)</f>
        <v>-13469443</v>
      </c>
      <c r="C11" s="1039">
        <v>-12843563</v>
      </c>
      <c r="D11" s="1027"/>
      <c r="E11" s="1027"/>
      <c r="F11" s="1027"/>
    </row>
    <row r="12" spans="1:10" s="1024" customFormat="1" ht="17.25" customHeight="1">
      <c r="A12" s="1041" t="s">
        <v>51</v>
      </c>
      <c r="B12" s="1042">
        <f>SUM(B7:B11)</f>
        <v>569012401.42999995</v>
      </c>
      <c r="C12" s="1043">
        <f>SUM(C7:C11)</f>
        <v>602102076</v>
      </c>
      <c r="D12" s="1029"/>
      <c r="E12" s="1029"/>
      <c r="F12" s="1029"/>
    </row>
    <row r="13" spans="1:10" ht="10.5" customHeight="1">
      <c r="A13" s="1044"/>
      <c r="B13" s="1038"/>
      <c r="C13" s="1045"/>
      <c r="D13" s="1027"/>
      <c r="E13" s="1027"/>
      <c r="F13" s="1027"/>
    </row>
    <row r="14" spans="1:10" ht="15.95" customHeight="1">
      <c r="A14" s="1033" t="s">
        <v>52</v>
      </c>
      <c r="B14" s="1046"/>
      <c r="C14" s="1045"/>
      <c r="D14" s="1036"/>
      <c r="E14" s="1027"/>
      <c r="F14" s="1027"/>
    </row>
    <row r="15" spans="1:10" ht="21.75" customHeight="1">
      <c r="A15" s="1037" t="s">
        <v>53</v>
      </c>
      <c r="B15" s="1038"/>
      <c r="C15" s="1045"/>
      <c r="D15" s="1027"/>
      <c r="E15" s="1027"/>
      <c r="F15" s="1027"/>
    </row>
    <row r="16" spans="1:10" ht="18.75" customHeight="1">
      <c r="A16" s="1037" t="s">
        <v>54</v>
      </c>
      <c r="B16" s="1038"/>
      <c r="C16" s="1045"/>
      <c r="D16" s="1036"/>
      <c r="E16" s="1027"/>
      <c r="F16" s="1027"/>
    </row>
    <row r="17" spans="1:6" ht="34.5" customHeight="1">
      <c r="A17" s="1037" t="s">
        <v>55</v>
      </c>
      <c r="B17" s="1038"/>
      <c r="C17" s="1045"/>
      <c r="D17" s="1027"/>
      <c r="E17" s="1027"/>
      <c r="F17" s="1027"/>
    </row>
    <row r="18" spans="1:6" ht="18" customHeight="1">
      <c r="A18" s="1037" t="s">
        <v>56</v>
      </c>
      <c r="B18" s="1038"/>
      <c r="C18" s="1045"/>
      <c r="D18" s="1027"/>
      <c r="E18" s="1027"/>
      <c r="F18" s="1027"/>
    </row>
    <row r="19" spans="1:6" ht="18" customHeight="1">
      <c r="A19" s="1037" t="s">
        <v>57</v>
      </c>
      <c r="B19" s="1038"/>
      <c r="C19" s="1045"/>
      <c r="D19" s="1027"/>
      <c r="E19" s="1027"/>
      <c r="F19" s="1027"/>
    </row>
    <row r="20" spans="1:6" ht="18.75" customHeight="1">
      <c r="A20" s="1047" t="s">
        <v>51</v>
      </c>
      <c r="B20" s="1048"/>
      <c r="C20" s="1049"/>
      <c r="D20" s="1027"/>
      <c r="E20" s="1027"/>
      <c r="F20" s="1027"/>
    </row>
    <row r="21" spans="1:6" ht="23.25" customHeight="1">
      <c r="A21" s="1353" t="s">
        <v>58</v>
      </c>
      <c r="B21" s="1353"/>
      <c r="C21" s="1353"/>
      <c r="D21" s="1027"/>
      <c r="E21" s="1027"/>
      <c r="F21" s="1027"/>
    </row>
    <row r="22" spans="1:6" ht="20.25" customHeight="1">
      <c r="A22" s="1050"/>
      <c r="B22" s="1050"/>
      <c r="C22" s="1354" t="s">
        <v>59</v>
      </c>
      <c r="D22" s="1354"/>
      <c r="E22" s="1027"/>
      <c r="F22" s="1027"/>
    </row>
    <row r="23" spans="1:6" ht="7.5" customHeight="1">
      <c r="A23" s="1051"/>
      <c r="B23" s="1027"/>
      <c r="C23" s="1027"/>
      <c r="D23" s="1027"/>
      <c r="E23" s="1027"/>
      <c r="F23" s="1027"/>
    </row>
    <row r="24" spans="1:6" ht="19.5">
      <c r="A24" s="1343" t="s">
        <v>60</v>
      </c>
      <c r="B24" s="1344"/>
      <c r="C24" s="1344"/>
      <c r="D24" s="381"/>
      <c r="E24" s="381"/>
      <c r="F24" s="381"/>
    </row>
    <row r="25" spans="1:6" ht="18.75">
      <c r="A25" s="840"/>
      <c r="B25" s="1345" t="s">
        <v>61</v>
      </c>
      <c r="C25" s="1346"/>
      <c r="D25" s="1345" t="s">
        <v>62</v>
      </c>
      <c r="E25" s="1346"/>
      <c r="F25" s="1348" t="s">
        <v>12</v>
      </c>
    </row>
    <row r="26" spans="1:6" ht="30.75" customHeight="1">
      <c r="A26" s="840"/>
      <c r="B26" s="1052" t="s">
        <v>63</v>
      </c>
      <c r="C26" s="1053" t="s">
        <v>64</v>
      </c>
      <c r="D26" s="1052" t="s">
        <v>63</v>
      </c>
      <c r="E26" s="1053" t="s">
        <v>64</v>
      </c>
      <c r="F26" s="1349"/>
    </row>
    <row r="27" spans="1:6" ht="15.75" customHeight="1">
      <c r="A27" s="1054" t="s">
        <v>65</v>
      </c>
      <c r="B27" s="840"/>
      <c r="C27" s="840">
        <v>20939947</v>
      </c>
      <c r="D27" s="840">
        <v>1795725</v>
      </c>
      <c r="E27" s="840">
        <f>2332921+858910</f>
        <v>3191831</v>
      </c>
      <c r="F27" s="1108">
        <f>SUM(C27:E27)</f>
        <v>25927503</v>
      </c>
    </row>
    <row r="28" spans="1:6" ht="15" customHeight="1">
      <c r="A28" s="1054" t="s">
        <v>66</v>
      </c>
      <c r="B28" s="840"/>
      <c r="C28" s="840"/>
      <c r="D28" s="840"/>
      <c r="E28" s="840"/>
      <c r="F28" s="1055"/>
    </row>
    <row r="29" spans="1:6" ht="19.5">
      <c r="A29" s="1029" t="s">
        <v>67</v>
      </c>
      <c r="B29" s="1027"/>
      <c r="C29" s="1027"/>
      <c r="D29" s="1027"/>
      <c r="E29" s="1027"/>
      <c r="F29" s="1027"/>
    </row>
    <row r="30" spans="1:6" ht="19.5">
      <c r="A30" s="1029"/>
      <c r="B30" s="1027"/>
      <c r="C30" s="1027"/>
      <c r="D30" s="1027"/>
      <c r="E30" s="1027"/>
      <c r="F30" s="1027"/>
    </row>
    <row r="31" spans="1:6" ht="13.5" customHeight="1">
      <c r="F31" s="172"/>
    </row>
    <row r="32" spans="1:6">
      <c r="A32" s="1347" t="s">
        <v>20</v>
      </c>
      <c r="B32" s="1347"/>
      <c r="C32" s="1347"/>
      <c r="D32" s="1347"/>
      <c r="E32" s="1347"/>
      <c r="F32" s="1347"/>
    </row>
    <row r="36" spans="5:5">
      <c r="E36" s="1025">
        <f>D27-1799000</f>
        <v>-3275</v>
      </c>
    </row>
  </sheetData>
  <customSheetViews>
    <customSheetView guid="{B1076A3F-74CA-4685-9B64-0249438E4A9A}" scale="115" showPageBreaks="1" fitToPage="1" printArea="1" view="pageBreakPreview" topLeftCell="A19">
      <selection activeCell="F25" sqref="F25:F26"/>
      <pageMargins left="0" right="0" top="0" bottom="0" header="0.511811023622047" footer="0.511811023622047"/>
      <printOptions horizontalCentered="1" verticalCentered="1"/>
      <pageSetup paperSize="9" scale="86" orientation="landscape"/>
      <headerFooter alignWithMargins="0">
        <oddFooter>&amp;C3</oddFooter>
      </headerFooter>
    </customSheetView>
    <customSheetView guid="{789595AE-36A2-4B02-81C2-3D94932E7381}" scale="115" showPageBreaks="1" fitToPage="1" printArea="1" view="pageBreakPreview" topLeftCell="A19">
      <selection activeCell="F25" sqref="F25:F26"/>
      <pageMargins left="0" right="0" top="0" bottom="0" header="0.511811023622047" footer="0.511811023622047"/>
      <printOptions horizontalCentered="1" verticalCentered="1"/>
      <pageSetup paperSize="9" scale="86" orientation="landscape"/>
      <headerFooter alignWithMargins="0">
        <oddFooter>&amp;C3</oddFooter>
      </headerFooter>
    </customSheetView>
  </customSheetViews>
  <mergeCells count="10">
    <mergeCell ref="A2:D2"/>
    <mergeCell ref="A4:C4"/>
    <mergeCell ref="A21:C21"/>
    <mergeCell ref="C22:D22"/>
    <mergeCell ref="A1:D1"/>
    <mergeCell ref="A24:C24"/>
    <mergeCell ref="B25:C25"/>
    <mergeCell ref="D25:E25"/>
    <mergeCell ref="A32:F32"/>
    <mergeCell ref="F25:F26"/>
  </mergeCells>
  <printOptions horizontalCentered="1" verticalCentered="1"/>
  <pageMargins left="0" right="0" top="0" bottom="0" header="0.35433070866141703" footer="0.31496062992126"/>
  <pageSetup paperSize="9" scale="93"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19"/>
  <sheetViews>
    <sheetView view="pageBreakPreview" zoomScale="130" zoomScaleNormal="100" workbookViewId="0">
      <selection activeCell="D17" sqref="D17"/>
    </sheetView>
  </sheetViews>
  <sheetFormatPr defaultColWidth="9" defaultRowHeight="12.75"/>
  <cols>
    <col min="1" max="1" width="36" style="380" customWidth="1"/>
    <col min="2" max="2" width="16.85546875" customWidth="1"/>
    <col min="3" max="3" width="18.7109375" customWidth="1"/>
    <col min="4" max="5" width="15.7109375" customWidth="1"/>
  </cols>
  <sheetData>
    <row r="1" spans="1:5" ht="16.5" customHeight="1">
      <c r="A1" s="1502" t="s">
        <v>1910</v>
      </c>
      <c r="B1" s="1502"/>
      <c r="C1" s="1502"/>
      <c r="D1" s="1502"/>
      <c r="E1" s="1502"/>
    </row>
    <row r="2" spans="1:5" ht="16.5" customHeight="1">
      <c r="A2" s="1502" t="s">
        <v>43</v>
      </c>
      <c r="B2" s="1502"/>
      <c r="C2" s="1502"/>
      <c r="D2" s="1502"/>
      <c r="E2" s="1502"/>
    </row>
    <row r="3" spans="1:5">
      <c r="A3" s="586"/>
      <c r="B3" s="570"/>
      <c r="C3" s="570"/>
      <c r="D3" s="1406" t="s">
        <v>68</v>
      </c>
      <c r="E3" s="1406"/>
    </row>
    <row r="4" spans="1:5" s="605" customFormat="1" ht="18" customHeight="1">
      <c r="A4" s="1509" t="s">
        <v>829</v>
      </c>
      <c r="B4" s="1510"/>
      <c r="C4" s="1510"/>
      <c r="D4" s="1510"/>
      <c r="E4" s="1511"/>
    </row>
    <row r="5" spans="1:5" s="402" customFormat="1" ht="18" customHeight="1">
      <c r="A5" s="613"/>
      <c r="B5" s="1512" t="s">
        <v>830</v>
      </c>
      <c r="C5" s="1512"/>
      <c r="D5" s="1512" t="s">
        <v>831</v>
      </c>
      <c r="E5" s="1513"/>
    </row>
    <row r="6" spans="1:5" s="402" customFormat="1" ht="18" customHeight="1">
      <c r="A6" s="614"/>
      <c r="B6" s="615" t="s">
        <v>6</v>
      </c>
      <c r="C6" s="615" t="s">
        <v>7</v>
      </c>
      <c r="D6" s="615" t="s">
        <v>6</v>
      </c>
      <c r="E6" s="616" t="s">
        <v>7</v>
      </c>
    </row>
    <row r="7" spans="1:5">
      <c r="A7" s="397" t="s">
        <v>832</v>
      </c>
      <c r="B7" s="347"/>
      <c r="C7" s="347"/>
      <c r="D7" s="391"/>
      <c r="E7" s="392"/>
    </row>
    <row r="8" spans="1:5">
      <c r="A8" s="397" t="s">
        <v>833</v>
      </c>
      <c r="B8" s="394">
        <v>0</v>
      </c>
      <c r="C8" s="394">
        <v>0</v>
      </c>
      <c r="D8" s="394">
        <v>0</v>
      </c>
      <c r="E8" s="392">
        <v>0</v>
      </c>
    </row>
    <row r="9" spans="1:5">
      <c r="A9" s="397" t="s">
        <v>834</v>
      </c>
      <c r="B9" s="394">
        <v>0</v>
      </c>
      <c r="C9" s="394">
        <v>0</v>
      </c>
      <c r="D9" s="394">
        <v>0</v>
      </c>
      <c r="E9" s="392">
        <v>0</v>
      </c>
    </row>
    <row r="10" spans="1:5">
      <c r="A10" s="397"/>
      <c r="B10" s="394"/>
      <c r="C10" s="394"/>
      <c r="D10" s="394"/>
      <c r="E10" s="392"/>
    </row>
    <row r="11" spans="1:5">
      <c r="A11" s="397" t="s">
        <v>835</v>
      </c>
      <c r="B11" s="394">
        <v>0</v>
      </c>
      <c r="C11" s="394">
        <v>0</v>
      </c>
      <c r="D11" s="394">
        <v>0</v>
      </c>
      <c r="E11" s="392">
        <v>0</v>
      </c>
    </row>
    <row r="12" spans="1:5">
      <c r="A12" s="397"/>
      <c r="B12" s="394"/>
      <c r="C12" s="394"/>
      <c r="D12" s="394"/>
      <c r="E12" s="392"/>
    </row>
    <row r="13" spans="1:5">
      <c r="A13" s="397" t="s">
        <v>836</v>
      </c>
      <c r="B13" s="394">
        <v>0</v>
      </c>
      <c r="C13" s="394">
        <v>0</v>
      </c>
      <c r="D13" s="394">
        <v>0</v>
      </c>
      <c r="E13" s="395">
        <v>0</v>
      </c>
    </row>
    <row r="14" spans="1:5">
      <c r="A14" s="397" t="s">
        <v>12</v>
      </c>
      <c r="B14" s="617">
        <f>+B8+B9+B11+B13</f>
        <v>0</v>
      </c>
      <c r="C14" s="617">
        <f>+C8+C9+C11+C13</f>
        <v>0</v>
      </c>
      <c r="D14" s="617">
        <f>+D8+D9+D11+D13</f>
        <v>0</v>
      </c>
      <c r="E14" s="618">
        <f>+E8+E9+E11+E13</f>
        <v>0</v>
      </c>
    </row>
    <row r="15" spans="1:5" ht="25.5">
      <c r="A15" s="619" t="s">
        <v>837</v>
      </c>
      <c r="B15" s="620" t="s">
        <v>838</v>
      </c>
      <c r="C15" s="620" t="s">
        <v>838</v>
      </c>
      <c r="D15" s="620" t="s">
        <v>838</v>
      </c>
      <c r="E15" s="621" t="s">
        <v>838</v>
      </c>
    </row>
    <row r="16" spans="1:5">
      <c r="A16" s="356"/>
      <c r="B16" s="570"/>
      <c r="C16" s="570"/>
      <c r="D16" s="570"/>
      <c r="E16" s="570"/>
    </row>
    <row r="17" spans="1:5">
      <c r="A17" s="356"/>
      <c r="B17" s="570"/>
      <c r="C17" s="570"/>
      <c r="D17" s="354"/>
      <c r="E17" s="570"/>
    </row>
    <row r="18" spans="1:5">
      <c r="A18" s="356"/>
      <c r="B18" s="570"/>
      <c r="C18" s="570"/>
      <c r="D18" s="324"/>
      <c r="E18" s="355" t="s">
        <v>20</v>
      </c>
    </row>
    <row r="19" spans="1:5">
      <c r="A19" s="356"/>
      <c r="B19" s="570"/>
      <c r="C19" s="570"/>
      <c r="D19" s="570"/>
      <c r="E19" s="570"/>
    </row>
  </sheetData>
  <customSheetViews>
    <customSheetView guid="{B1076A3F-74CA-4685-9B64-0249438E4A9A}" scale="160" showPageBreaks="1" printArea="1" view="pageBreakPreview" topLeftCell="A10">
      <selection activeCell="E18" sqref="E18"/>
      <pageMargins left="0" right="0" top="0" bottom="0" header="0.511811023622047" footer="0.511811023622047"/>
      <printOptions horizontalCentered="1" verticalCentered="1"/>
      <pageSetup paperSize="9" scale="150" orientation="landscape"/>
      <headerFooter alignWithMargins="0"/>
    </customSheetView>
    <customSheetView guid="{789595AE-36A2-4B02-81C2-3D94932E7381}" scale="160" showPageBreaks="1" printArea="1" view="pageBreakPreview" topLeftCell="A10">
      <selection activeCell="E18" sqref="E18"/>
      <pageMargins left="0" right="0" top="0" bottom="0" header="0.511811023622047" footer="0.511811023622047"/>
      <printOptions horizontalCentered="1" verticalCentered="1"/>
      <pageSetup paperSize="9" scale="150" orientation="landscape"/>
      <headerFooter alignWithMargins="0"/>
    </customSheetView>
  </customSheetViews>
  <mergeCells count="6">
    <mergeCell ref="A1:E1"/>
    <mergeCell ref="A2:E2"/>
    <mergeCell ref="D3:E3"/>
    <mergeCell ref="A4:E4"/>
    <mergeCell ref="B5:C5"/>
    <mergeCell ref="D5:E5"/>
  </mergeCells>
  <printOptions horizontalCentered="1" verticalCentered="1"/>
  <pageMargins left="0" right="0" top="0" bottom="0" header="0.35433070866141703" footer="0.31496062992126"/>
  <pageSetup paperSize="9" scale="9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17"/>
  <sheetViews>
    <sheetView view="pageBreakPreview" zoomScale="130" zoomScaleNormal="100" workbookViewId="0">
      <selection activeCell="A11" sqref="A11"/>
    </sheetView>
  </sheetViews>
  <sheetFormatPr defaultColWidth="9" defaultRowHeight="12.75"/>
  <cols>
    <col min="1" max="1" width="54.7109375" style="380" customWidth="1"/>
    <col min="2" max="2" width="17.7109375" customWidth="1"/>
    <col min="3" max="3" width="16.85546875" customWidth="1"/>
    <col min="4" max="4" width="9.140625" hidden="1" customWidth="1"/>
  </cols>
  <sheetData>
    <row r="1" spans="1:9" ht="19.5">
      <c r="A1" s="1343" t="s">
        <v>1910</v>
      </c>
      <c r="B1" s="1343"/>
      <c r="C1" s="1343"/>
      <c r="D1" s="1343"/>
    </row>
    <row r="2" spans="1:9" ht="19.5">
      <c r="A2" s="1343" t="s">
        <v>43</v>
      </c>
      <c r="B2" s="1343"/>
      <c r="C2" s="1343"/>
      <c r="D2" s="1343"/>
    </row>
    <row r="3" spans="1:9" ht="15.75">
      <c r="A3" s="1322"/>
      <c r="B3" s="1322"/>
      <c r="C3" s="1322"/>
      <c r="D3" s="1322"/>
    </row>
    <row r="4" spans="1:9" ht="15.75">
      <c r="A4" s="382"/>
      <c r="B4" s="570"/>
      <c r="C4" s="587" t="s">
        <v>68</v>
      </c>
      <c r="D4" s="383"/>
    </row>
    <row r="5" spans="1:9" s="605" customFormat="1" ht="15">
      <c r="A5" s="386" t="s">
        <v>839</v>
      </c>
      <c r="B5" s="606" t="s">
        <v>6</v>
      </c>
      <c r="C5" s="607" t="s">
        <v>7</v>
      </c>
      <c r="D5" s="608"/>
      <c r="I5"/>
    </row>
    <row r="6" spans="1:9" s="605" customFormat="1" ht="15">
      <c r="A6" s="609"/>
      <c r="B6" s="610"/>
      <c r="C6" s="611"/>
      <c r="D6" s="608"/>
      <c r="I6"/>
    </row>
    <row r="7" spans="1:9" ht="15">
      <c r="A7" s="393" t="s">
        <v>840</v>
      </c>
      <c r="B7" s="394">
        <v>35200</v>
      </c>
      <c r="C7" s="395">
        <v>96961</v>
      </c>
      <c r="D7" s="324"/>
    </row>
    <row r="8" spans="1:9" ht="15">
      <c r="A8" s="393"/>
      <c r="B8" s="394"/>
      <c r="C8" s="395"/>
      <c r="D8" s="324"/>
    </row>
    <row r="9" spans="1:9" ht="15">
      <c r="A9" s="393" t="s">
        <v>841</v>
      </c>
      <c r="B9" s="394">
        <v>70490</v>
      </c>
      <c r="C9" s="395">
        <v>55464</v>
      </c>
      <c r="D9" s="324"/>
    </row>
    <row r="10" spans="1:9" ht="15">
      <c r="A10" s="393"/>
      <c r="B10" s="394"/>
      <c r="C10" s="395"/>
      <c r="D10" s="324"/>
    </row>
    <row r="11" spans="1:9" ht="15">
      <c r="A11" s="393" t="s">
        <v>842</v>
      </c>
      <c r="B11" s="394">
        <v>0</v>
      </c>
      <c r="C11" s="395">
        <v>0</v>
      </c>
      <c r="D11" s="324"/>
    </row>
    <row r="12" spans="1:9" ht="15.75">
      <c r="A12" s="595" t="s">
        <v>491</v>
      </c>
      <c r="B12" s="417">
        <f>SUM(B7:B11)</f>
        <v>105690</v>
      </c>
      <c r="C12" s="430">
        <f>SUM(C7:C11)</f>
        <v>152425</v>
      </c>
      <c r="D12" s="612">
        <f>SUM(D7:D11)</f>
        <v>0</v>
      </c>
    </row>
    <row r="13" spans="1:9">
      <c r="A13" s="356"/>
      <c r="B13" s="354"/>
      <c r="C13" s="354"/>
      <c r="D13" s="324"/>
    </row>
    <row r="14" spans="1:9">
      <c r="A14" s="356"/>
      <c r="B14" s="324"/>
      <c r="C14" s="354"/>
      <c r="D14" s="324"/>
    </row>
    <row r="15" spans="1:9">
      <c r="A15" s="356"/>
      <c r="B15" s="324"/>
      <c r="C15" s="355" t="s">
        <v>20</v>
      </c>
      <c r="D15" s="324"/>
    </row>
    <row r="16" spans="1:9">
      <c r="A16" s="356"/>
      <c r="B16" s="324"/>
      <c r="C16" s="324"/>
      <c r="D16" s="324"/>
    </row>
    <row r="17" spans="4:4">
      <c r="D17">
        <f>SUM(D9:D16)</f>
        <v>0</v>
      </c>
    </row>
  </sheetData>
  <customSheetViews>
    <customSheetView guid="{B1076A3F-74CA-4685-9B64-0249438E4A9A}" scale="130" showPageBreaks="1" printArea="1" hiddenColumns="1" view="pageBreakPreview">
      <selection activeCell="C15" sqref="C15"/>
      <pageMargins left="0" right="0" top="0" bottom="0" header="0.511811023622047" footer="0.511811023622047"/>
      <printOptions horizontalCentered="1" verticalCentered="1"/>
      <pageSetup paperSize="9" scale="150" orientation="landscape"/>
      <headerFooter alignWithMargins="0"/>
    </customSheetView>
    <customSheetView guid="{789595AE-36A2-4B02-81C2-3D94932E7381}" scale="130" showPageBreaks="1" printArea="1" hiddenColumns="1" view="pageBreakPreview">
      <selection activeCell="C15" sqref="C15"/>
      <pageMargins left="0" right="0" top="0" bottom="0" header="0.511811023622047" footer="0.511811023622047"/>
      <printOptions horizontalCentered="1" verticalCentered="1"/>
      <pageSetup paperSize="9" scale="150" orientation="landscape"/>
      <headerFooter alignWithMargins="0"/>
    </customSheetView>
  </customSheetViews>
  <mergeCells count="3">
    <mergeCell ref="A1:D1"/>
    <mergeCell ref="A2:D2"/>
    <mergeCell ref="A3:D3"/>
  </mergeCells>
  <printOptions horizontalCentered="1" verticalCentered="1"/>
  <pageMargins left="0" right="0" top="0" bottom="0" header="0.35433070866141703" footer="0.31496062992126"/>
  <pageSetup paperSize="9" scale="9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38"/>
  <sheetViews>
    <sheetView view="pageBreakPreview" zoomScale="130" zoomScaleNormal="100" workbookViewId="0">
      <pane ySplit="5" topLeftCell="A21" activePane="bottomLeft" state="frozen"/>
      <selection pane="bottomLeft" activeCell="B27" sqref="B27"/>
    </sheetView>
  </sheetViews>
  <sheetFormatPr defaultColWidth="9" defaultRowHeight="12.75"/>
  <cols>
    <col min="1" max="1" width="77.28515625" style="380" customWidth="1"/>
    <col min="2" max="2" width="14.5703125" customWidth="1"/>
    <col min="3" max="3" width="17" customWidth="1"/>
    <col min="4" max="4" width="3.28515625" customWidth="1"/>
  </cols>
  <sheetData>
    <row r="1" spans="1:10" ht="18.75">
      <c r="A1" s="1502" t="s">
        <v>1910</v>
      </c>
      <c r="B1" s="1502"/>
      <c r="C1" s="1502"/>
      <c r="D1" s="1502"/>
    </row>
    <row r="2" spans="1:10" ht="18.75">
      <c r="A2" s="1502" t="s">
        <v>43</v>
      </c>
      <c r="B2" s="1502"/>
      <c r="C2" s="1502"/>
      <c r="D2" s="1502"/>
    </row>
    <row r="3" spans="1:10" ht="15">
      <c r="A3" s="382"/>
      <c r="B3" s="570"/>
      <c r="C3" s="324"/>
      <c r="D3" s="382"/>
      <c r="J3" s="401"/>
    </row>
    <row r="4" spans="1:10">
      <c r="A4" s="586"/>
      <c r="B4" s="570"/>
      <c r="C4" s="587" t="s">
        <v>68</v>
      </c>
      <c r="D4" s="570"/>
    </row>
    <row r="5" spans="1:10" s="515" customFormat="1" ht="15.75">
      <c r="A5" s="588" t="s">
        <v>843</v>
      </c>
      <c r="B5" s="589" t="s">
        <v>6</v>
      </c>
      <c r="C5" s="590" t="s">
        <v>7</v>
      </c>
      <c r="D5" s="591"/>
      <c r="I5" s="159"/>
    </row>
    <row r="6" spans="1:10" ht="15">
      <c r="A6" s="393"/>
      <c r="B6" s="391"/>
      <c r="C6" s="392"/>
      <c r="D6" s="570"/>
    </row>
    <row r="7" spans="1:10" ht="15">
      <c r="A7" s="393" t="s">
        <v>844</v>
      </c>
      <c r="B7" s="394">
        <f>B26</f>
        <v>1052312</v>
      </c>
      <c r="C7" s="395">
        <v>881447</v>
      </c>
      <c r="D7" s="570"/>
      <c r="F7" s="592"/>
    </row>
    <row r="8" spans="1:10" ht="15">
      <c r="A8" s="393"/>
      <c r="B8" s="394"/>
      <c r="C8" s="395"/>
      <c r="D8" s="570"/>
    </row>
    <row r="9" spans="1:10" ht="15">
      <c r="A9" s="393"/>
      <c r="B9" s="394"/>
      <c r="C9" s="395"/>
      <c r="D9" s="570"/>
    </row>
    <row r="10" spans="1:10" ht="15">
      <c r="A10" s="393" t="s">
        <v>845</v>
      </c>
      <c r="B10" s="394">
        <v>0</v>
      </c>
      <c r="C10" s="395">
        <v>0</v>
      </c>
      <c r="D10" s="570"/>
    </row>
    <row r="11" spans="1:10" ht="15">
      <c r="A11" s="393"/>
      <c r="B11" s="394"/>
      <c r="C11" s="395"/>
      <c r="D11" s="570"/>
    </row>
    <row r="12" spans="1:10" ht="15">
      <c r="A12" s="393" t="s">
        <v>846</v>
      </c>
      <c r="B12" s="394"/>
      <c r="C12" s="395"/>
      <c r="D12" s="570"/>
    </row>
    <row r="13" spans="1:10" ht="15">
      <c r="A13" s="393" t="s">
        <v>847</v>
      </c>
      <c r="B13" s="394">
        <f>B24</f>
        <v>860075</v>
      </c>
      <c r="C13" s="395">
        <v>-4650048</v>
      </c>
      <c r="D13" s="570"/>
      <c r="F13" s="592"/>
    </row>
    <row r="14" spans="1:10" ht="15">
      <c r="A14" s="393" t="s">
        <v>848</v>
      </c>
      <c r="B14" s="394">
        <v>0</v>
      </c>
      <c r="C14" s="395">
        <v>0</v>
      </c>
      <c r="D14" s="570"/>
    </row>
    <row r="15" spans="1:10" ht="14.25">
      <c r="A15" s="593"/>
      <c r="B15" s="394"/>
      <c r="C15" s="395"/>
      <c r="D15" s="570"/>
    </row>
    <row r="16" spans="1:10" ht="15">
      <c r="A16" s="393" t="s">
        <v>849</v>
      </c>
      <c r="B16" s="394">
        <v>0</v>
      </c>
      <c r="C16" s="395">
        <v>0</v>
      </c>
      <c r="D16" s="570"/>
    </row>
    <row r="17" spans="1:4">
      <c r="A17" s="594"/>
      <c r="B17" s="394"/>
      <c r="C17" s="395"/>
      <c r="D17" s="570">
        <f>SUM(D9:D16)</f>
        <v>0</v>
      </c>
    </row>
    <row r="18" spans="1:4" ht="15.75">
      <c r="A18" s="595" t="s">
        <v>12</v>
      </c>
      <c r="B18" s="430">
        <f>SUM(B7:B16)</f>
        <v>1912387</v>
      </c>
      <c r="C18" s="430">
        <f>SUM(C7:C16)</f>
        <v>-3768601</v>
      </c>
      <c r="D18" s="570"/>
    </row>
    <row r="19" spans="1:4" ht="15.75">
      <c r="A19" s="517"/>
      <c r="B19" s="409"/>
      <c r="C19" s="409"/>
      <c r="D19" s="570"/>
    </row>
    <row r="20" spans="1:4" ht="15.75">
      <c r="A20" s="517"/>
      <c r="B20" s="409"/>
      <c r="C20" s="409"/>
      <c r="D20" s="570"/>
    </row>
    <row r="21" spans="1:4" ht="14.25">
      <c r="A21" s="1514" t="s">
        <v>850</v>
      </c>
      <c r="B21" s="1515"/>
      <c r="C21" s="1516"/>
      <c r="D21" s="570"/>
    </row>
    <row r="22" spans="1:4" ht="15">
      <c r="A22" s="596" t="s">
        <v>851</v>
      </c>
      <c r="B22" s="597">
        <v>4361363</v>
      </c>
      <c r="C22" s="598">
        <v>9508755</v>
      </c>
      <c r="D22" s="570"/>
    </row>
    <row r="23" spans="1:4" ht="17.25" customHeight="1">
      <c r="A23" s="599" t="s">
        <v>852</v>
      </c>
      <c r="B23" s="597">
        <v>333119</v>
      </c>
      <c r="C23" s="598">
        <v>497344</v>
      </c>
      <c r="D23" s="570"/>
    </row>
    <row r="24" spans="1:4" ht="15">
      <c r="A24" s="600" t="s">
        <v>853</v>
      </c>
      <c r="B24" s="601">
        <v>860075</v>
      </c>
      <c r="C24" s="602">
        <v>-4650048</v>
      </c>
      <c r="D24" s="570"/>
    </row>
    <row r="25" spans="1:4" ht="15">
      <c r="A25" s="603" t="s">
        <v>854</v>
      </c>
      <c r="B25" s="604">
        <f>B22-B23+B24</f>
        <v>4888319</v>
      </c>
      <c r="C25" s="604">
        <f>C22-C23+C24</f>
        <v>4361363</v>
      </c>
      <c r="D25" s="570"/>
    </row>
    <row r="26" spans="1:4">
      <c r="A26" s="356" t="s">
        <v>1808</v>
      </c>
      <c r="B26" s="570">
        <v>1052312</v>
      </c>
      <c r="C26" s="324"/>
      <c r="D26" s="570"/>
    </row>
    <row r="27" spans="1:4">
      <c r="A27" s="356"/>
      <c r="B27" s="570"/>
      <c r="C27" s="1242"/>
      <c r="D27" s="570"/>
    </row>
    <row r="28" spans="1:4">
      <c r="A28" s="356"/>
      <c r="B28" s="570"/>
      <c r="C28" s="1242"/>
      <c r="D28" s="570"/>
    </row>
    <row r="29" spans="1:4">
      <c r="A29" s="356"/>
      <c r="B29" s="570"/>
      <c r="C29" s="355" t="s">
        <v>20</v>
      </c>
      <c r="D29" s="570"/>
    </row>
    <row r="30" spans="1:4">
      <c r="A30" s="356"/>
      <c r="B30" s="570"/>
      <c r="C30" s="570"/>
      <c r="D30" s="570"/>
    </row>
    <row r="35" spans="1:1">
      <c r="A35" s="380">
        <v>210309</v>
      </c>
    </row>
    <row r="36" spans="1:1">
      <c r="A36" s="380">
        <v>898458</v>
      </c>
    </row>
    <row r="37" spans="1:1">
      <c r="A37" s="380">
        <v>-56455</v>
      </c>
    </row>
    <row r="38" spans="1:1">
      <c r="A38" s="380">
        <f>SUM(A35:A37)</f>
        <v>1052312</v>
      </c>
    </row>
  </sheetData>
  <customSheetViews>
    <customSheetView guid="{B1076A3F-74CA-4685-9B64-0249438E4A9A}" showPageBreaks="1" printArea="1" view="pageBreakPreview" topLeftCell="A10">
      <selection activeCell="C24" sqref="C24"/>
      <pageMargins left="0" right="0" top="0" bottom="0" header="0.511811023622047" footer="0.511811023622047"/>
      <printOptions horizontalCentered="1" verticalCentered="1"/>
      <pageSetup paperSize="9" scale="165" orientation="landscape"/>
      <headerFooter alignWithMargins="0"/>
    </customSheetView>
    <customSheetView guid="{789595AE-36A2-4B02-81C2-3D94932E7381}" showPageBreaks="1" printArea="1" view="pageBreakPreview" topLeftCell="A10">
      <selection activeCell="C24" sqref="C24"/>
      <pageMargins left="0" right="0" top="0" bottom="0" header="0.511811023622047" footer="0.511811023622047"/>
      <printOptions horizontalCentered="1" verticalCentered="1"/>
      <pageSetup paperSize="9" scale="165" orientation="landscape"/>
      <headerFooter alignWithMargins="0"/>
    </customSheetView>
  </customSheetViews>
  <mergeCells count="3">
    <mergeCell ref="A1:D1"/>
    <mergeCell ref="A2:D2"/>
    <mergeCell ref="A21:C21"/>
  </mergeCells>
  <printOptions horizontalCentered="1" verticalCentered="1"/>
  <pageMargins left="0" right="0" top="0" bottom="0" header="0.35433070866141703" footer="0.31496062992126"/>
  <pageSetup paperSize="9" scale="9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29"/>
  <sheetViews>
    <sheetView view="pageBreakPreview" zoomScaleNormal="100" workbookViewId="0">
      <selection activeCell="C26" sqref="C26"/>
    </sheetView>
  </sheetViews>
  <sheetFormatPr defaultColWidth="9.140625" defaultRowHeight="12.75"/>
  <cols>
    <col min="1" max="1" width="59.5703125" style="405" customWidth="1"/>
    <col min="2" max="2" width="17.85546875" style="406" customWidth="1"/>
    <col min="3" max="3" width="19.7109375" style="406" customWidth="1"/>
    <col min="4" max="4" width="2.42578125" style="406" customWidth="1"/>
    <col min="5" max="16384" width="9.140625" style="406"/>
  </cols>
  <sheetData>
    <row r="1" spans="1:11" ht="18.75">
      <c r="A1" s="1517" t="s">
        <v>1910</v>
      </c>
      <c r="B1" s="1517"/>
      <c r="C1" s="1517"/>
      <c r="D1" s="1517"/>
    </row>
    <row r="2" spans="1:11" ht="18.75">
      <c r="A2" s="1517" t="s">
        <v>43</v>
      </c>
      <c r="B2" s="1517"/>
      <c r="C2" s="1517"/>
      <c r="D2" s="1517"/>
    </row>
    <row r="3" spans="1:11">
      <c r="A3" s="1518"/>
      <c r="B3" s="1518"/>
      <c r="C3" s="1518"/>
      <c r="D3" s="1518"/>
    </row>
    <row r="4" spans="1:11" ht="15">
      <c r="A4" s="408"/>
      <c r="B4" s="353"/>
      <c r="C4" s="325"/>
      <c r="D4" s="408"/>
      <c r="K4" s="585"/>
    </row>
    <row r="5" spans="1:11">
      <c r="A5" s="572"/>
      <c r="B5" s="353"/>
      <c r="C5" s="573" t="s">
        <v>68</v>
      </c>
      <c r="D5" s="353"/>
    </row>
    <row r="6" spans="1:11" s="403" customFormat="1" ht="19.5">
      <c r="A6" s="574" t="s">
        <v>855</v>
      </c>
      <c r="B6" s="410" t="s">
        <v>6</v>
      </c>
      <c r="C6" s="428" t="s">
        <v>7</v>
      </c>
      <c r="D6" s="575"/>
      <c r="I6" s="406"/>
    </row>
    <row r="7" spans="1:11">
      <c r="A7" s="576"/>
      <c r="B7" s="394"/>
      <c r="C7" s="395"/>
      <c r="D7" s="353"/>
    </row>
    <row r="8" spans="1:11" ht="15">
      <c r="A8" s="415" t="s">
        <v>856</v>
      </c>
      <c r="B8" s="394">
        <v>1063752</v>
      </c>
      <c r="C8" s="394">
        <v>723065</v>
      </c>
      <c r="D8" s="353"/>
    </row>
    <row r="9" spans="1:11" ht="15">
      <c r="A9" s="415" t="s">
        <v>857</v>
      </c>
      <c r="B9" s="394">
        <v>704033</v>
      </c>
      <c r="C9" s="394">
        <v>188300</v>
      </c>
      <c r="D9" s="353"/>
    </row>
    <row r="10" spans="1:11" ht="15">
      <c r="A10" s="415" t="s">
        <v>858</v>
      </c>
      <c r="B10" s="394">
        <v>-1609</v>
      </c>
      <c r="C10" s="394">
        <v>895629</v>
      </c>
      <c r="D10" s="353"/>
    </row>
    <row r="11" spans="1:11" ht="15">
      <c r="A11" s="415" t="s">
        <v>859</v>
      </c>
      <c r="B11" s="394">
        <v>0</v>
      </c>
      <c r="C11" s="394">
        <v>0</v>
      </c>
      <c r="D11" s="353"/>
    </row>
    <row r="12" spans="1:11" ht="15">
      <c r="A12" s="415" t="s">
        <v>860</v>
      </c>
      <c r="B12" s="394">
        <v>0</v>
      </c>
      <c r="C12" s="394">
        <v>0</v>
      </c>
      <c r="D12" s="353"/>
    </row>
    <row r="13" spans="1:11" ht="15">
      <c r="A13" s="415" t="s">
        <v>861</v>
      </c>
      <c r="B13" s="394">
        <v>0</v>
      </c>
      <c r="C13" s="394">
        <v>0</v>
      </c>
      <c r="D13" s="353"/>
    </row>
    <row r="14" spans="1:11" ht="15">
      <c r="A14" s="415" t="s">
        <v>862</v>
      </c>
      <c r="B14" s="394">
        <v>0</v>
      </c>
      <c r="C14" s="394">
        <v>0</v>
      </c>
      <c r="D14" s="353"/>
    </row>
    <row r="15" spans="1:11" ht="15">
      <c r="A15" s="415" t="s">
        <v>863</v>
      </c>
      <c r="B15" s="394"/>
      <c r="C15" s="394"/>
      <c r="D15" s="353"/>
    </row>
    <row r="16" spans="1:11" ht="15">
      <c r="A16" s="415" t="s">
        <v>864</v>
      </c>
      <c r="B16" s="394">
        <v>0</v>
      </c>
      <c r="C16" s="394">
        <v>0</v>
      </c>
      <c r="D16" s="353"/>
    </row>
    <row r="17" spans="1:4" ht="25.5" customHeight="1">
      <c r="A17" s="415" t="s">
        <v>865</v>
      </c>
      <c r="B17" s="394">
        <v>0</v>
      </c>
      <c r="C17" s="394">
        <v>0</v>
      </c>
      <c r="D17" s="353">
        <f>SUM(D9:D16)</f>
        <v>0</v>
      </c>
    </row>
    <row r="18" spans="1:4" ht="24.75" customHeight="1">
      <c r="A18" s="577" t="s">
        <v>866</v>
      </c>
      <c r="B18" s="394"/>
      <c r="C18" s="394">
        <v>0</v>
      </c>
      <c r="D18" s="353"/>
    </row>
    <row r="19" spans="1:4" ht="19.5" customHeight="1">
      <c r="A19" s="578" t="s">
        <v>867</v>
      </c>
      <c r="B19" s="579">
        <v>1125000</v>
      </c>
      <c r="C19" s="579">
        <v>23380</v>
      </c>
      <c r="D19" s="353"/>
    </row>
    <row r="20" spans="1:4" ht="17.25" customHeight="1">
      <c r="A20" s="578" t="s">
        <v>868</v>
      </c>
      <c r="B20" s="579"/>
      <c r="C20" s="579"/>
      <c r="D20" s="353"/>
    </row>
    <row r="21" spans="1:4" ht="19.5" customHeight="1">
      <c r="A21" s="578" t="s">
        <v>869</v>
      </c>
      <c r="B21" s="579"/>
      <c r="C21" s="579"/>
      <c r="D21" s="353"/>
    </row>
    <row r="22" spans="1:4" ht="22.5" customHeight="1">
      <c r="A22" s="578" t="s">
        <v>870</v>
      </c>
      <c r="B22" s="579"/>
      <c r="C22" s="579"/>
      <c r="D22" s="353"/>
    </row>
    <row r="23" spans="1:4" ht="32.25" customHeight="1">
      <c r="A23" s="578" t="s">
        <v>871</v>
      </c>
      <c r="B23" s="394">
        <f>2520052+37200+420-394501</f>
        <v>2163171</v>
      </c>
      <c r="C23" s="579">
        <f>150+63302+4490915-1747000-1106841</f>
        <v>1700526</v>
      </c>
      <c r="D23" s="353"/>
    </row>
    <row r="24" spans="1:4" ht="20.25" customHeight="1">
      <c r="A24" s="580"/>
      <c r="B24" s="579"/>
      <c r="C24" s="581"/>
      <c r="D24" s="353"/>
    </row>
    <row r="25" spans="1:4" ht="15">
      <c r="A25" s="582" t="s">
        <v>491</v>
      </c>
      <c r="B25" s="583">
        <f>SUM(B8:B23)</f>
        <v>5054347</v>
      </c>
      <c r="C25" s="584">
        <f>SUM(C8:C24)</f>
        <v>3530900</v>
      </c>
      <c r="D25" s="353"/>
    </row>
    <row r="26" spans="1:4" ht="15">
      <c r="A26" s="1254"/>
      <c r="B26" s="1255"/>
      <c r="C26" s="1255"/>
      <c r="D26" s="353"/>
    </row>
    <row r="27" spans="1:4">
      <c r="A27" s="409"/>
      <c r="B27" s="409"/>
      <c r="C27" s="353"/>
      <c r="D27" s="353"/>
    </row>
    <row r="28" spans="1:4">
      <c r="A28" s="409"/>
      <c r="B28" s="325"/>
      <c r="C28" s="355" t="s">
        <v>20</v>
      </c>
      <c r="D28" s="353"/>
    </row>
    <row r="29" spans="1:4">
      <c r="A29" s="409"/>
      <c r="B29" s="353"/>
      <c r="C29" s="353"/>
      <c r="D29" s="353"/>
    </row>
  </sheetData>
  <customSheetViews>
    <customSheetView guid="{B1076A3F-74CA-4685-9B64-0249438E4A9A}" showPageBreaks="1" printArea="1" view="pageBreakPreview" topLeftCell="A10">
      <selection activeCell="C24" sqref="C24"/>
      <pageMargins left="0" right="0" top="0" bottom="0" header="0.511811023622047" footer="0.511811023622047"/>
      <printOptions horizontalCentered="1" verticalCentered="1"/>
      <pageSetup paperSize="9" scale="150" orientation="landscape"/>
      <headerFooter alignWithMargins="0"/>
    </customSheetView>
    <customSheetView guid="{789595AE-36A2-4B02-81C2-3D94932E7381}" showPageBreaks="1" printArea="1" view="pageBreakPreview" topLeftCell="A10">
      <selection activeCell="C24" sqref="C24"/>
      <pageMargins left="0" right="0" top="0" bottom="0" header="0.511811023622047" footer="0.511811023622047"/>
      <printOptions horizontalCentered="1" verticalCentered="1"/>
      <pageSetup paperSize="9" scale="150" orientation="landscape"/>
      <headerFooter alignWithMargins="0"/>
    </customSheetView>
  </customSheetViews>
  <mergeCells count="3">
    <mergeCell ref="A1:D1"/>
    <mergeCell ref="A2:D2"/>
    <mergeCell ref="A3:D3"/>
  </mergeCells>
  <printOptions horizontalCentered="1" verticalCentered="1"/>
  <pageMargins left="0" right="0" top="0" bottom="0" header="0.35433070866141703" footer="0.31496062992126"/>
  <pageSetup paperSize="9" scale="9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34"/>
  <sheetViews>
    <sheetView view="pageBreakPreview" zoomScale="130" zoomScaleNormal="100" workbookViewId="0">
      <selection sqref="A1:D1"/>
    </sheetView>
  </sheetViews>
  <sheetFormatPr defaultColWidth="9" defaultRowHeight="12.75"/>
  <cols>
    <col min="1" max="1" width="48.42578125" style="380" customWidth="1"/>
    <col min="2" max="2" width="18.7109375" customWidth="1"/>
    <col min="3" max="3" width="18.42578125" customWidth="1"/>
    <col min="4" max="4" width="10.140625" customWidth="1"/>
  </cols>
  <sheetData>
    <row r="1" spans="1:11" ht="18.75">
      <c r="A1" s="1502" t="s">
        <v>1910</v>
      </c>
      <c r="B1" s="1502"/>
      <c r="C1" s="1502"/>
      <c r="D1" s="1502"/>
    </row>
    <row r="2" spans="1:11" ht="19.5">
      <c r="A2" s="1343" t="s">
        <v>43</v>
      </c>
      <c r="B2" s="1343"/>
      <c r="C2" s="1343"/>
      <c r="D2" s="1343"/>
    </row>
    <row r="3" spans="1:11" ht="15.75">
      <c r="A3" s="1322"/>
      <c r="B3" s="1322"/>
      <c r="C3" s="1322"/>
      <c r="D3" s="1322"/>
    </row>
    <row r="4" spans="1:11" ht="15.75">
      <c r="A4" s="383"/>
      <c r="B4" s="324"/>
      <c r="C4" s="324"/>
      <c r="D4" s="383"/>
      <c r="K4" s="401"/>
    </row>
    <row r="5" spans="1:11" ht="15">
      <c r="A5" s="384"/>
      <c r="B5" s="324"/>
      <c r="C5" s="385" t="s">
        <v>68</v>
      </c>
      <c r="D5" s="324"/>
    </row>
    <row r="6" spans="1:11" s="379" customFormat="1" ht="19.5">
      <c r="A6" s="569" t="s">
        <v>872</v>
      </c>
      <c r="B6" s="542" t="s">
        <v>6</v>
      </c>
      <c r="C6" s="561" t="s">
        <v>7</v>
      </c>
      <c r="D6" s="389"/>
      <c r="I6" s="402"/>
    </row>
    <row r="7" spans="1:11" s="402" customFormat="1">
      <c r="A7" s="390"/>
      <c r="B7" s="391"/>
      <c r="C7" s="392"/>
      <c r="D7" s="570"/>
    </row>
    <row r="8" spans="1:11" s="402" customFormat="1" ht="15">
      <c r="A8" s="393" t="s">
        <v>873</v>
      </c>
      <c r="B8" s="394">
        <v>0</v>
      </c>
      <c r="C8" s="395">
        <v>0</v>
      </c>
      <c r="D8" s="570"/>
    </row>
    <row r="9" spans="1:11" s="402" customFormat="1">
      <c r="A9" s="397"/>
      <c r="B9" s="394"/>
      <c r="C9" s="395"/>
      <c r="D9" s="570"/>
    </row>
    <row r="10" spans="1:11" s="402" customFormat="1">
      <c r="A10" s="397"/>
      <c r="B10" s="394"/>
      <c r="C10" s="395"/>
      <c r="D10" s="570"/>
    </row>
    <row r="11" spans="1:11" s="402" customFormat="1">
      <c r="A11" s="397"/>
      <c r="B11" s="394"/>
      <c r="C11" s="395"/>
      <c r="D11" s="570"/>
    </row>
    <row r="12" spans="1:11" s="402" customFormat="1">
      <c r="A12" s="397"/>
      <c r="B12" s="394"/>
      <c r="C12" s="395"/>
      <c r="D12" s="570"/>
    </row>
    <row r="13" spans="1:11" s="402" customFormat="1" ht="15.75">
      <c r="A13" s="571" t="s">
        <v>491</v>
      </c>
      <c r="B13" s="417">
        <f>SUM(B8:B12)</f>
        <v>0</v>
      </c>
      <c r="C13" s="430">
        <f>SUM(C8:C12)</f>
        <v>0</v>
      </c>
      <c r="D13" s="570"/>
    </row>
    <row r="14" spans="1:11">
      <c r="A14" s="356"/>
      <c r="B14" s="324"/>
      <c r="C14" s="324"/>
      <c r="D14" s="324"/>
    </row>
    <row r="15" spans="1:11">
      <c r="A15" s="356"/>
      <c r="B15" s="354"/>
      <c r="C15" s="324"/>
      <c r="D15" s="324"/>
    </row>
    <row r="16" spans="1:11">
      <c r="A16" s="356"/>
      <c r="B16" s="324"/>
      <c r="C16" s="355" t="s">
        <v>20</v>
      </c>
      <c r="D16" s="324"/>
    </row>
    <row r="17" spans="1:4">
      <c r="A17" s="356"/>
      <c r="B17" s="324"/>
      <c r="C17" s="324"/>
      <c r="D17" s="324">
        <f>SUM(D9:D16)</f>
        <v>0</v>
      </c>
    </row>
    <row r="18" spans="1:4">
      <c r="A18" s="356"/>
      <c r="B18" s="324"/>
      <c r="C18" s="324"/>
      <c r="D18" s="324"/>
    </row>
    <row r="19" spans="1:4">
      <c r="A19" s="356"/>
      <c r="B19" s="324"/>
      <c r="C19" s="324"/>
      <c r="D19" s="324"/>
    </row>
    <row r="20" spans="1:4">
      <c r="A20" s="356"/>
      <c r="B20" s="324"/>
      <c r="C20" s="324"/>
      <c r="D20" s="324"/>
    </row>
    <row r="21" spans="1:4">
      <c r="A21" s="356"/>
      <c r="B21" s="324"/>
      <c r="C21" s="324"/>
      <c r="D21" s="324"/>
    </row>
    <row r="22" spans="1:4">
      <c r="A22" s="356"/>
      <c r="B22" s="324"/>
      <c r="C22" s="324"/>
      <c r="D22" s="324"/>
    </row>
    <row r="23" spans="1:4">
      <c r="A23" s="356"/>
      <c r="B23" s="324"/>
      <c r="C23" s="324"/>
      <c r="D23" s="324"/>
    </row>
    <row r="24" spans="1:4">
      <c r="A24" s="356"/>
      <c r="B24" s="324"/>
      <c r="C24" s="324"/>
      <c r="D24" s="324"/>
    </row>
    <row r="25" spans="1:4">
      <c r="A25" s="356"/>
      <c r="B25" s="324"/>
      <c r="C25" s="324"/>
      <c r="D25" s="324"/>
    </row>
    <row r="26" spans="1:4">
      <c r="A26" s="356"/>
      <c r="B26" s="324"/>
      <c r="C26" s="324"/>
      <c r="D26" s="324"/>
    </row>
    <row r="27" spans="1:4">
      <c r="A27" s="356"/>
      <c r="B27" s="324"/>
      <c r="C27" s="324"/>
      <c r="D27" s="324"/>
    </row>
    <row r="28" spans="1:4">
      <c r="A28" s="356"/>
      <c r="B28" s="324"/>
      <c r="C28" s="324"/>
      <c r="D28" s="324"/>
    </row>
    <row r="29" spans="1:4">
      <c r="A29" s="356"/>
      <c r="B29" s="324"/>
      <c r="C29" s="324"/>
      <c r="D29" s="324"/>
    </row>
    <row r="30" spans="1:4">
      <c r="A30" s="356"/>
      <c r="B30" s="324"/>
      <c r="C30" s="324"/>
      <c r="D30" s="324"/>
    </row>
    <row r="31" spans="1:4">
      <c r="A31" s="356"/>
      <c r="B31" s="324"/>
      <c r="C31" s="324"/>
      <c r="D31" s="324"/>
    </row>
    <row r="32" spans="1:4">
      <c r="A32" s="356"/>
      <c r="B32" s="324"/>
      <c r="C32" s="324"/>
      <c r="D32" s="324"/>
    </row>
    <row r="33" spans="1:4">
      <c r="A33" s="356"/>
      <c r="B33" s="324"/>
      <c r="C33" s="324"/>
      <c r="D33" s="324"/>
    </row>
    <row r="34" spans="1:4">
      <c r="A34" s="356"/>
      <c r="B34" s="324"/>
      <c r="C34" s="324"/>
      <c r="D34" s="324"/>
    </row>
  </sheetData>
  <customSheetViews>
    <customSheetView guid="{B1076A3F-74CA-4685-9B64-0249438E4A9A}" scale="130" showPageBreaks="1" printArea="1" view="pageBreakPreview">
      <selection activeCell="C16" sqref="C16"/>
      <pageMargins left="0" right="0" top="0" bottom="0" header="0.511811023622047" footer="0.511811023622047"/>
      <printOptions horizontalCentered="1" verticalCentered="1"/>
      <pageSetup paperSize="9" scale="160" orientation="landscape"/>
      <headerFooter alignWithMargins="0"/>
    </customSheetView>
    <customSheetView guid="{789595AE-36A2-4B02-81C2-3D94932E7381}" scale="130" showPageBreaks="1" printArea="1" view="pageBreakPreview">
      <selection activeCell="C16" sqref="C16"/>
      <pageMargins left="0" right="0" top="0" bottom="0" header="0.511811023622047" footer="0.511811023622047"/>
      <printOptions horizontalCentered="1" verticalCentered="1"/>
      <pageSetup paperSize="9" scale="160" orientation="landscape"/>
      <headerFooter alignWithMargins="0"/>
    </customSheetView>
  </customSheetViews>
  <mergeCells count="3">
    <mergeCell ref="A1:D1"/>
    <mergeCell ref="A2:D2"/>
    <mergeCell ref="A3:D3"/>
  </mergeCells>
  <printOptions horizontalCentered="1" verticalCentered="1"/>
  <pageMargins left="0" right="0" top="0" bottom="0" header="0.35433070866141703" footer="0.31496062992126"/>
  <pageSetup paperSize="9" scale="9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N30"/>
  <sheetViews>
    <sheetView view="pageBreakPreview" topLeftCell="A4" zoomScale="90" zoomScaleNormal="100" workbookViewId="0">
      <selection activeCell="K27" sqref="K27"/>
    </sheetView>
  </sheetViews>
  <sheetFormatPr defaultColWidth="9.140625" defaultRowHeight="15.75"/>
  <cols>
    <col min="1" max="1" width="38.140625" style="159" customWidth="1"/>
    <col min="2" max="2" width="19" style="155" customWidth="1"/>
    <col min="3" max="3" width="13" style="155" customWidth="1"/>
    <col min="4" max="4" width="15.28515625" style="155" customWidth="1"/>
    <col min="5" max="5" width="14.85546875" style="155" customWidth="1"/>
    <col min="6" max="6" width="15" style="155" customWidth="1"/>
    <col min="7" max="7" width="11.42578125" style="155" customWidth="1"/>
    <col min="8" max="8" width="16.42578125" style="155" customWidth="1"/>
    <col min="9" max="9" width="15.5703125" style="155" customWidth="1"/>
    <col min="10" max="10" width="9.140625" style="155"/>
    <col min="11" max="11" width="12.5703125" style="155" customWidth="1"/>
    <col min="12" max="12" width="13.7109375" style="155" customWidth="1"/>
    <col min="13" max="16384" width="9.140625" style="155"/>
  </cols>
  <sheetData>
    <row r="1" spans="1:14" ht="23.25" customHeight="1">
      <c r="A1" s="1343" t="s">
        <v>1910</v>
      </c>
      <c r="B1" s="1343"/>
      <c r="C1" s="1343"/>
      <c r="D1" s="1343"/>
      <c r="E1" s="1343"/>
      <c r="F1" s="1343"/>
      <c r="G1" s="1343"/>
      <c r="H1" s="1343"/>
      <c r="I1" s="1343"/>
    </row>
    <row r="2" spans="1:14" ht="23.25" customHeight="1">
      <c r="A2" s="1343" t="s">
        <v>43</v>
      </c>
      <c r="B2" s="1343"/>
      <c r="C2" s="1343"/>
      <c r="D2" s="1343"/>
      <c r="E2" s="1343"/>
      <c r="F2" s="1343"/>
      <c r="G2" s="1343"/>
      <c r="H2" s="1343"/>
      <c r="I2" s="1343"/>
    </row>
    <row r="3" spans="1:14">
      <c r="A3" s="517"/>
      <c r="B3" s="518"/>
      <c r="C3" s="518"/>
      <c r="D3" s="518"/>
      <c r="E3" s="518"/>
      <c r="F3" s="518"/>
      <c r="G3" s="518"/>
      <c r="H3" s="518"/>
      <c r="I3" s="560"/>
    </row>
    <row r="4" spans="1:14" s="515" customFormat="1" ht="19.5">
      <c r="A4" s="1520" t="s">
        <v>874</v>
      </c>
      <c r="B4" s="1408" t="s">
        <v>6</v>
      </c>
      <c r="C4" s="1409"/>
      <c r="D4" s="1409"/>
      <c r="E4" s="1410"/>
      <c r="F4" s="1355" t="s">
        <v>7</v>
      </c>
      <c r="G4" s="1355"/>
      <c r="H4" s="1355"/>
      <c r="I4" s="1519"/>
    </row>
    <row r="5" spans="1:14" s="516" customFormat="1" ht="62.25" customHeight="1">
      <c r="A5" s="1521"/>
      <c r="B5" s="543" t="s">
        <v>875</v>
      </c>
      <c r="C5" s="544" t="s">
        <v>587</v>
      </c>
      <c r="D5" s="545" t="s">
        <v>876</v>
      </c>
      <c r="E5" s="545" t="s">
        <v>12</v>
      </c>
      <c r="F5" s="543" t="s">
        <v>875</v>
      </c>
      <c r="G5" s="544" t="s">
        <v>587</v>
      </c>
      <c r="H5" s="543" t="s">
        <v>876</v>
      </c>
      <c r="I5" s="562" t="s">
        <v>12</v>
      </c>
    </row>
    <row r="6" spans="1:14" s="539" customFormat="1" ht="25.5" customHeight="1">
      <c r="A6" s="546" t="s">
        <v>877</v>
      </c>
      <c r="B6" s="547"/>
      <c r="C6" s="548"/>
      <c r="D6" s="548"/>
      <c r="E6" s="548"/>
      <c r="F6" s="548"/>
      <c r="G6" s="548"/>
      <c r="H6" s="548"/>
      <c r="I6" s="563"/>
    </row>
    <row r="7" spans="1:14" s="539" customFormat="1">
      <c r="A7" s="549" t="s">
        <v>878</v>
      </c>
      <c r="B7" s="550">
        <f>B30</f>
        <v>338220503</v>
      </c>
      <c r="C7" s="550"/>
      <c r="D7" s="550"/>
      <c r="E7" s="551">
        <f t="shared" ref="E7:E14" si="0">SUM(B7:D7)</f>
        <v>338220503</v>
      </c>
      <c r="F7" s="550">
        <v>321858435</v>
      </c>
      <c r="G7" s="550">
        <v>0</v>
      </c>
      <c r="H7" s="550">
        <v>0</v>
      </c>
      <c r="I7" s="564">
        <f t="shared" ref="I7:I15" si="1">SUM(F7:H7)</f>
        <v>321858435</v>
      </c>
      <c r="K7" s="565"/>
      <c r="L7" s="565"/>
      <c r="M7" s="565"/>
      <c r="N7" s="565"/>
    </row>
    <row r="8" spans="1:14" s="539" customFormat="1">
      <c r="A8" s="549" t="s">
        <v>879</v>
      </c>
      <c r="B8" s="550">
        <f>D28</f>
        <v>15561548</v>
      </c>
      <c r="C8" s="550"/>
      <c r="D8" s="550"/>
      <c r="E8" s="551">
        <f t="shared" si="0"/>
        <v>15561548</v>
      </c>
      <c r="F8" s="550">
        <v>14034158</v>
      </c>
      <c r="G8" s="550">
        <v>0</v>
      </c>
      <c r="H8" s="550">
        <v>0</v>
      </c>
      <c r="I8" s="564">
        <f t="shared" si="1"/>
        <v>14034158</v>
      </c>
      <c r="K8" s="565"/>
    </row>
    <row r="9" spans="1:14" s="539" customFormat="1" ht="30">
      <c r="A9" s="549" t="s">
        <v>880</v>
      </c>
      <c r="B9" s="550"/>
      <c r="C9" s="550"/>
      <c r="D9" s="550"/>
      <c r="E9" s="551">
        <f t="shared" si="0"/>
        <v>0</v>
      </c>
      <c r="F9" s="550">
        <v>0</v>
      </c>
      <c r="G9" s="550">
        <v>0</v>
      </c>
      <c r="H9" s="550">
        <v>0</v>
      </c>
      <c r="I9" s="564">
        <f t="shared" si="1"/>
        <v>0</v>
      </c>
    </row>
    <row r="10" spans="1:14" s="539" customFormat="1">
      <c r="A10" s="549" t="s">
        <v>881</v>
      </c>
      <c r="B10" s="550"/>
      <c r="C10" s="550"/>
      <c r="D10" s="550"/>
      <c r="E10" s="551">
        <f t="shared" si="0"/>
        <v>0</v>
      </c>
      <c r="F10" s="550">
        <v>0</v>
      </c>
      <c r="G10" s="550">
        <v>0</v>
      </c>
      <c r="H10" s="550">
        <v>0</v>
      </c>
      <c r="I10" s="564">
        <f t="shared" si="1"/>
        <v>0</v>
      </c>
    </row>
    <row r="11" spans="1:14" s="539" customFormat="1">
      <c r="A11" s="549" t="s">
        <v>882</v>
      </c>
      <c r="B11" s="550"/>
      <c r="C11" s="550"/>
      <c r="D11" s="550"/>
      <c r="E11" s="551">
        <f t="shared" si="0"/>
        <v>0</v>
      </c>
      <c r="F11" s="550">
        <v>0</v>
      </c>
      <c r="G11" s="550">
        <v>0</v>
      </c>
      <c r="H11" s="550">
        <v>0</v>
      </c>
      <c r="I11" s="564">
        <f t="shared" si="1"/>
        <v>0</v>
      </c>
    </row>
    <row r="12" spans="1:14" s="539" customFormat="1">
      <c r="A12" s="549" t="s">
        <v>883</v>
      </c>
      <c r="B12" s="550"/>
      <c r="C12" s="550"/>
      <c r="D12" s="550"/>
      <c r="E12" s="551">
        <f t="shared" si="0"/>
        <v>0</v>
      </c>
      <c r="F12" s="550">
        <v>0</v>
      </c>
      <c r="G12" s="550">
        <v>0</v>
      </c>
      <c r="H12" s="550">
        <v>0</v>
      </c>
      <c r="I12" s="564">
        <f t="shared" si="1"/>
        <v>0</v>
      </c>
    </row>
    <row r="13" spans="1:14" s="539" customFormat="1" ht="30">
      <c r="A13" s="549" t="s">
        <v>884</v>
      </c>
      <c r="B13" s="550"/>
      <c r="C13" s="550"/>
      <c r="D13" s="550"/>
      <c r="E13" s="551">
        <f t="shared" si="0"/>
        <v>0</v>
      </c>
      <c r="F13" s="550">
        <v>0</v>
      </c>
      <c r="G13" s="550">
        <v>0</v>
      </c>
      <c r="H13" s="550">
        <v>0</v>
      </c>
      <c r="I13" s="564">
        <f t="shared" si="1"/>
        <v>0</v>
      </c>
    </row>
    <row r="14" spans="1:14" s="539" customFormat="1" ht="30">
      <c r="A14" s="549" t="s">
        <v>885</v>
      </c>
      <c r="B14" s="550"/>
      <c r="C14" s="550"/>
      <c r="D14" s="550"/>
      <c r="E14" s="551">
        <f t="shared" si="0"/>
        <v>0</v>
      </c>
      <c r="F14" s="550">
        <v>0</v>
      </c>
      <c r="G14" s="550">
        <v>0</v>
      </c>
      <c r="H14" s="550">
        <v>0</v>
      </c>
      <c r="I14" s="564">
        <f t="shared" si="1"/>
        <v>0</v>
      </c>
    </row>
    <row r="15" spans="1:14" ht="27" customHeight="1">
      <c r="A15" s="552" t="s">
        <v>886</v>
      </c>
      <c r="B15" s="553">
        <f t="shared" ref="B15:H15" si="2">SUM(B7:B14)</f>
        <v>353782051</v>
      </c>
      <c r="C15" s="553">
        <f t="shared" si="2"/>
        <v>0</v>
      </c>
      <c r="D15" s="553">
        <f t="shared" si="2"/>
        <v>0</v>
      </c>
      <c r="E15" s="553">
        <f t="shared" si="2"/>
        <v>353782051</v>
      </c>
      <c r="F15" s="553">
        <f t="shared" si="2"/>
        <v>335892593</v>
      </c>
      <c r="G15" s="553">
        <f t="shared" si="2"/>
        <v>0</v>
      </c>
      <c r="H15" s="553">
        <f t="shared" si="2"/>
        <v>0</v>
      </c>
      <c r="I15" s="564">
        <f t="shared" si="1"/>
        <v>335892593</v>
      </c>
    </row>
    <row r="16" spans="1:14" ht="20.25" customHeight="1">
      <c r="A16" s="554" t="s">
        <v>887</v>
      </c>
      <c r="B16" s="522"/>
      <c r="C16" s="522"/>
      <c r="D16" s="522"/>
      <c r="E16" s="551"/>
      <c r="F16" s="550"/>
      <c r="G16" s="550"/>
      <c r="H16" s="550"/>
      <c r="I16" s="566"/>
    </row>
    <row r="17" spans="1:12" ht="48.75" customHeight="1">
      <c r="A17" s="549" t="s">
        <v>888</v>
      </c>
      <c r="B17" s="524">
        <v>37324770</v>
      </c>
      <c r="C17" s="524">
        <v>0</v>
      </c>
      <c r="D17" s="524">
        <f>SUM(D9:D16)</f>
        <v>0</v>
      </c>
      <c r="E17" s="529">
        <f>SUM(B17:D17)</f>
        <v>37324770</v>
      </c>
      <c r="F17" s="524">
        <v>39000000</v>
      </c>
      <c r="G17" s="394">
        <v>0</v>
      </c>
      <c r="H17" s="394">
        <v>0</v>
      </c>
      <c r="I17" s="564">
        <f>SUM(F17:H17)</f>
        <v>39000000</v>
      </c>
    </row>
    <row r="18" spans="1:12" s="540" customFormat="1" ht="24.75" customHeight="1">
      <c r="A18" s="555" t="s">
        <v>889</v>
      </c>
      <c r="B18" s="556">
        <f>B15+B17</f>
        <v>391106821</v>
      </c>
      <c r="C18" s="556">
        <f>+C15+C17</f>
        <v>0</v>
      </c>
      <c r="D18" s="556">
        <f>+D15+D17</f>
        <v>0</v>
      </c>
      <c r="E18" s="556">
        <f>+E15+E17</f>
        <v>391106821</v>
      </c>
      <c r="F18" s="556">
        <f>F15+F17</f>
        <v>374892593</v>
      </c>
      <c r="G18" s="556">
        <f>G15+G17</f>
        <v>0</v>
      </c>
      <c r="H18" s="556">
        <f>H15+H17</f>
        <v>0</v>
      </c>
      <c r="I18" s="567">
        <f>I15+I17</f>
        <v>374892593</v>
      </c>
    </row>
    <row r="19" spans="1:12">
      <c r="A19" s="517"/>
      <c r="B19" s="518"/>
      <c r="C19" s="518"/>
      <c r="D19" s="518"/>
      <c r="E19" s="518"/>
      <c r="F19" s="518"/>
      <c r="G19" s="518"/>
      <c r="H19" s="518"/>
      <c r="I19" s="518"/>
    </row>
    <row r="20" spans="1:12">
      <c r="A20" s="37" t="s">
        <v>890</v>
      </c>
      <c r="B20" s="34" t="s">
        <v>891</v>
      </c>
      <c r="C20" s="19"/>
      <c r="D20" s="19"/>
      <c r="E20" s="518"/>
      <c r="F20" s="518"/>
      <c r="G20" s="518"/>
      <c r="H20" s="518"/>
      <c r="I20" s="518"/>
    </row>
    <row r="21" spans="1:12">
      <c r="A21" s="37" t="s">
        <v>892</v>
      </c>
      <c r="B21" s="557">
        <v>338591016</v>
      </c>
      <c r="C21" s="19"/>
      <c r="D21" s="558"/>
      <c r="E21" s="518"/>
      <c r="F21" s="518"/>
      <c r="G21" s="518"/>
      <c r="H21" s="518"/>
      <c r="I21" s="355" t="s">
        <v>20</v>
      </c>
    </row>
    <row r="22" spans="1:12">
      <c r="A22" s="37" t="s">
        <v>893</v>
      </c>
      <c r="B22" s="34">
        <v>56658</v>
      </c>
      <c r="C22" s="19"/>
      <c r="D22" s="19"/>
      <c r="E22" s="518"/>
      <c r="F22" s="518"/>
      <c r="G22" s="518"/>
      <c r="H22" s="518"/>
      <c r="I22" s="518"/>
    </row>
    <row r="23" spans="1:12">
      <c r="A23" s="37" t="s">
        <v>894</v>
      </c>
      <c r="B23" s="34">
        <v>189000</v>
      </c>
      <c r="C23" s="19"/>
      <c r="D23" s="19"/>
      <c r="E23" s="518"/>
      <c r="F23" s="518"/>
      <c r="G23" s="518"/>
      <c r="H23" s="518"/>
      <c r="I23" s="518"/>
    </row>
    <row r="24" spans="1:12">
      <c r="A24" s="37" t="s">
        <v>895</v>
      </c>
      <c r="B24" s="34"/>
      <c r="C24" s="19"/>
      <c r="D24" s="19"/>
      <c r="E24" s="518"/>
      <c r="F24" s="518"/>
      <c r="G24" s="518"/>
      <c r="H24" s="518"/>
      <c r="I24" s="518"/>
    </row>
    <row r="25" spans="1:12">
      <c r="A25" s="37" t="s">
        <v>896</v>
      </c>
      <c r="B25" s="559">
        <v>24689863</v>
      </c>
      <c r="C25" s="34" t="s">
        <v>897</v>
      </c>
      <c r="D25" s="557">
        <v>15358984</v>
      </c>
      <c r="E25" s="518"/>
      <c r="F25" s="518"/>
      <c r="G25" s="518"/>
      <c r="H25" s="518"/>
      <c r="I25" s="518"/>
    </row>
    <row r="26" spans="1:12">
      <c r="A26" s="37" t="s">
        <v>491</v>
      </c>
      <c r="B26" s="34">
        <f>SUM(B21:B25)</f>
        <v>363526537</v>
      </c>
      <c r="C26" s="34" t="s">
        <v>898</v>
      </c>
      <c r="D26" s="559">
        <v>1247236</v>
      </c>
    </row>
    <row r="27" spans="1:12">
      <c r="A27" s="37" t="s">
        <v>899</v>
      </c>
      <c r="B27" s="34">
        <v>23595034</v>
      </c>
      <c r="C27" s="34" t="s">
        <v>900</v>
      </c>
      <c r="D27" s="559">
        <v>1044672</v>
      </c>
      <c r="K27" s="155">
        <f>B25+D26</f>
        <v>25937099</v>
      </c>
    </row>
    <row r="28" spans="1:12">
      <c r="A28" s="37" t="s">
        <v>901</v>
      </c>
      <c r="B28" s="34">
        <v>464500</v>
      </c>
      <c r="C28" s="34" t="s">
        <v>12</v>
      </c>
      <c r="D28" s="37">
        <f>D25+D26-D27</f>
        <v>15561548</v>
      </c>
      <c r="L28" s="499"/>
    </row>
    <row r="29" spans="1:12">
      <c r="A29" s="37" t="s">
        <v>902</v>
      </c>
      <c r="B29" s="34">
        <v>1246500</v>
      </c>
      <c r="C29" s="19"/>
      <c r="D29" s="19"/>
      <c r="L29" s="499"/>
    </row>
    <row r="30" spans="1:12">
      <c r="A30" s="37" t="s">
        <v>903</v>
      </c>
      <c r="B30" s="37">
        <f>B26-B27-B28-B29</f>
        <v>338220503</v>
      </c>
      <c r="C30" s="19"/>
      <c r="D30" s="19"/>
    </row>
  </sheetData>
  <customSheetViews>
    <customSheetView guid="{B1076A3F-74CA-4685-9B64-0249438E4A9A}" scale="90" showPageBreaks="1" printArea="1" view="pageBreakPreview">
      <selection activeCell="K21" sqref="K21"/>
      <pageMargins left="0" right="0" top="0" bottom="0" header="0.511811023622047" footer="0.511811023622047"/>
      <printOptions horizontalCentered="1" verticalCentered="1"/>
      <pageSetup paperSize="9" scale="85" orientation="landscape"/>
      <headerFooter alignWithMargins="0"/>
    </customSheetView>
    <customSheetView guid="{789595AE-36A2-4B02-81C2-3D94932E7381}" scale="90" showPageBreaks="1" printArea="1" view="pageBreakPreview">
      <selection activeCell="K21" sqref="K21"/>
      <pageMargins left="0" right="0" top="0" bottom="0" header="0.511811023622047" footer="0.511811023622047"/>
      <printOptions horizontalCentered="1" verticalCentered="1"/>
      <pageSetup paperSize="9" scale="85" orientation="landscape"/>
      <headerFooter alignWithMargins="0"/>
    </customSheetView>
  </customSheetViews>
  <mergeCells count="5">
    <mergeCell ref="A1:I1"/>
    <mergeCell ref="A2:I2"/>
    <mergeCell ref="B4:E4"/>
    <mergeCell ref="F4:I4"/>
    <mergeCell ref="A4:A5"/>
  </mergeCells>
  <printOptions horizontalCentered="1" verticalCentered="1"/>
  <pageMargins left="0" right="0" top="0" bottom="0" header="0.35433070866141703" footer="0.31496062992126"/>
  <pageSetup paperSize="9" scale="9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N110"/>
  <sheetViews>
    <sheetView view="pageBreakPreview" zoomScale="80" zoomScaleNormal="100" workbookViewId="0">
      <pane xSplit="1" ySplit="7" topLeftCell="B12" activePane="bottomRight" state="frozen"/>
      <selection pane="topRight"/>
      <selection pane="bottomLeft"/>
      <selection pane="bottomRight" activeCell="H36" sqref="H36"/>
    </sheetView>
  </sheetViews>
  <sheetFormatPr defaultColWidth="9.140625" defaultRowHeight="15.75"/>
  <cols>
    <col min="1" max="1" width="38.7109375" style="159" customWidth="1"/>
    <col min="2" max="2" width="20.28515625" style="159" customWidth="1"/>
    <col min="3" max="3" width="15.28515625" style="155" customWidth="1"/>
    <col min="4" max="4" width="16.28515625" style="155" customWidth="1"/>
    <col min="5" max="5" width="17.140625" style="155" customWidth="1"/>
    <col min="6" max="6" width="16.85546875" style="155" customWidth="1"/>
    <col min="7" max="7" width="18" style="155" customWidth="1"/>
    <col min="8" max="8" width="17.42578125" style="155" customWidth="1"/>
    <col min="9" max="9" width="17.28515625" style="155" customWidth="1"/>
    <col min="10" max="10" width="14.42578125" style="155" customWidth="1"/>
    <col min="11" max="13" width="9.140625" style="155"/>
    <col min="14" max="14" width="12.140625" style="155" customWidth="1"/>
    <col min="15" max="15" width="11.5703125" style="155" customWidth="1"/>
    <col min="16" max="18" width="9.140625" style="155"/>
    <col min="19" max="19" width="10.28515625" style="155" customWidth="1"/>
    <col min="20" max="16384" width="9.140625" style="155"/>
  </cols>
  <sheetData>
    <row r="1" spans="1:11">
      <c r="A1" s="1322" t="s">
        <v>1910</v>
      </c>
      <c r="B1" s="1322"/>
      <c r="C1" s="1322"/>
      <c r="D1" s="1322"/>
      <c r="E1" s="1322"/>
      <c r="F1" s="1322"/>
      <c r="G1" s="1322"/>
      <c r="H1" s="1322"/>
      <c r="I1" s="1322"/>
      <c r="J1" s="1322"/>
    </row>
    <row r="2" spans="1:11">
      <c r="A2" s="1322" t="s">
        <v>43</v>
      </c>
      <c r="B2" s="1322"/>
      <c r="C2" s="1322"/>
      <c r="D2" s="1322"/>
      <c r="E2" s="1322"/>
      <c r="F2" s="1322"/>
      <c r="G2" s="1322"/>
      <c r="H2" s="1322"/>
      <c r="I2" s="1322"/>
      <c r="J2" s="1322"/>
    </row>
    <row r="3" spans="1:11">
      <c r="A3" s="517"/>
      <c r="B3" s="517"/>
      <c r="C3" s="518"/>
      <c r="D3" s="518"/>
      <c r="E3" s="518"/>
      <c r="F3" s="518"/>
      <c r="G3" s="518"/>
      <c r="H3" s="518"/>
      <c r="I3" s="518"/>
      <c r="J3" s="535" t="s">
        <v>68</v>
      </c>
    </row>
    <row r="4" spans="1:11" s="515" customFormat="1">
      <c r="A4" s="1525" t="s">
        <v>904</v>
      </c>
      <c r="B4" s="1534" t="s">
        <v>6</v>
      </c>
      <c r="C4" s="1535"/>
      <c r="D4" s="1535"/>
      <c r="E4" s="1535"/>
      <c r="F4" s="1536"/>
      <c r="G4" s="1534" t="s">
        <v>7</v>
      </c>
      <c r="H4" s="1535"/>
      <c r="I4" s="1535"/>
      <c r="J4" s="1536"/>
    </row>
    <row r="5" spans="1:11" s="516" customFormat="1" ht="61.5" customHeight="1">
      <c r="A5" s="1526"/>
      <c r="B5" s="1537" t="s">
        <v>586</v>
      </c>
      <c r="C5" s="1538"/>
      <c r="D5" s="1527" t="s">
        <v>587</v>
      </c>
      <c r="E5" s="1529" t="s">
        <v>905</v>
      </c>
      <c r="F5" s="1529" t="s">
        <v>12</v>
      </c>
      <c r="G5" s="1531" t="s">
        <v>586</v>
      </c>
      <c r="H5" s="1531" t="s">
        <v>587</v>
      </c>
      <c r="I5" s="1532" t="s">
        <v>876</v>
      </c>
      <c r="J5" s="1533" t="s">
        <v>12</v>
      </c>
    </row>
    <row r="6" spans="1:11" s="516" customFormat="1" ht="61.5" customHeight="1">
      <c r="A6" s="519"/>
      <c r="B6" s="412" t="s">
        <v>906</v>
      </c>
      <c r="C6" s="412" t="s">
        <v>907</v>
      </c>
      <c r="D6" s="1528"/>
      <c r="E6" s="1530"/>
      <c r="F6" s="1530"/>
      <c r="G6" s="1531"/>
      <c r="H6" s="1531"/>
      <c r="I6" s="1532"/>
      <c r="J6" s="1533"/>
    </row>
    <row r="7" spans="1:11">
      <c r="A7" s="520" t="s">
        <v>908</v>
      </c>
      <c r="B7" s="520"/>
      <c r="C7" s="521"/>
      <c r="D7" s="521"/>
      <c r="E7" s="521"/>
      <c r="F7" s="521"/>
      <c r="G7" s="521"/>
      <c r="H7" s="521"/>
      <c r="I7" s="521"/>
      <c r="J7" s="521"/>
    </row>
    <row r="8" spans="1:11" ht="22.5" customHeight="1">
      <c r="A8" s="522" t="s">
        <v>909</v>
      </c>
      <c r="B8" s="523">
        <f>B50</f>
        <v>3570770</v>
      </c>
      <c r="C8" s="524">
        <v>0</v>
      </c>
      <c r="D8" s="524">
        <v>0</v>
      </c>
      <c r="E8" s="524">
        <v>0</v>
      </c>
      <c r="F8" s="524">
        <f>SUM(B8:E8)</f>
        <v>3570770</v>
      </c>
      <c r="G8" s="524">
        <v>9943693</v>
      </c>
      <c r="H8" s="524">
        <v>0</v>
      </c>
      <c r="I8" s="524">
        <v>0</v>
      </c>
      <c r="J8" s="529">
        <f t="shared" ref="J8:J19" si="0">SUM(G8:I8)</f>
        <v>9943693</v>
      </c>
      <c r="K8" s="499"/>
    </row>
    <row r="9" spans="1:11" ht="19.5" customHeight="1">
      <c r="A9" s="522" t="s">
        <v>910</v>
      </c>
      <c r="B9" s="523">
        <f>C50</f>
        <v>79077</v>
      </c>
      <c r="C9" s="524">
        <v>0</v>
      </c>
      <c r="D9" s="524">
        <v>0</v>
      </c>
      <c r="E9" s="524">
        <v>0</v>
      </c>
      <c r="F9" s="524">
        <f t="shared" ref="F9:F33" si="1">SUM(B9:E9)</f>
        <v>79077</v>
      </c>
      <c r="G9" s="524">
        <v>1085273</v>
      </c>
      <c r="H9" s="524">
        <v>0</v>
      </c>
      <c r="I9" s="524">
        <v>0</v>
      </c>
      <c r="J9" s="529">
        <f t="shared" si="0"/>
        <v>1085273</v>
      </c>
    </row>
    <row r="10" spans="1:11" ht="22.5" customHeight="1">
      <c r="A10" s="522" t="s">
        <v>911</v>
      </c>
      <c r="B10" s="525"/>
      <c r="C10" s="524">
        <v>0</v>
      </c>
      <c r="D10" s="524">
        <v>0</v>
      </c>
      <c r="E10" s="524">
        <v>0</v>
      </c>
      <c r="F10" s="524">
        <f t="shared" si="1"/>
        <v>0</v>
      </c>
      <c r="G10" s="524">
        <v>0</v>
      </c>
      <c r="H10" s="524">
        <v>0</v>
      </c>
      <c r="I10" s="524">
        <v>0</v>
      </c>
      <c r="J10" s="529">
        <f t="shared" si="0"/>
        <v>0</v>
      </c>
    </row>
    <row r="11" spans="1:11" ht="20.25" customHeight="1">
      <c r="A11" s="522" t="s">
        <v>912</v>
      </c>
      <c r="B11" s="525"/>
      <c r="C11" s="524">
        <v>0</v>
      </c>
      <c r="D11" s="524">
        <v>0</v>
      </c>
      <c r="E11" s="524">
        <v>0</v>
      </c>
      <c r="F11" s="524">
        <f t="shared" si="1"/>
        <v>0</v>
      </c>
      <c r="G11" s="524">
        <v>0</v>
      </c>
      <c r="H11" s="524">
        <v>0</v>
      </c>
      <c r="I11" s="524">
        <v>0</v>
      </c>
      <c r="J11" s="529">
        <f t="shared" si="0"/>
        <v>0</v>
      </c>
    </row>
    <row r="12" spans="1:11" ht="20.25" customHeight="1">
      <c r="A12" s="522" t="s">
        <v>913</v>
      </c>
      <c r="B12" s="525"/>
      <c r="C12" s="524">
        <v>0</v>
      </c>
      <c r="D12" s="524">
        <v>0</v>
      </c>
      <c r="E12" s="524">
        <v>0</v>
      </c>
      <c r="F12" s="524">
        <f t="shared" si="1"/>
        <v>0</v>
      </c>
      <c r="G12" s="524">
        <v>0</v>
      </c>
      <c r="H12" s="524">
        <v>0</v>
      </c>
      <c r="I12" s="524">
        <v>0</v>
      </c>
      <c r="J12" s="529">
        <f t="shared" si="0"/>
        <v>0</v>
      </c>
    </row>
    <row r="13" spans="1:11" ht="21.75" customHeight="1">
      <c r="A13" s="522" t="s">
        <v>914</v>
      </c>
      <c r="B13" s="525"/>
      <c r="C13" s="524">
        <v>0</v>
      </c>
      <c r="D13" s="524">
        <v>0</v>
      </c>
      <c r="E13" s="524">
        <v>0</v>
      </c>
      <c r="F13" s="524">
        <f t="shared" si="1"/>
        <v>0</v>
      </c>
      <c r="G13" s="524">
        <v>0</v>
      </c>
      <c r="H13" s="524">
        <v>0</v>
      </c>
      <c r="I13" s="524">
        <v>0</v>
      </c>
      <c r="J13" s="529">
        <f t="shared" si="0"/>
        <v>0</v>
      </c>
    </row>
    <row r="14" spans="1:11" ht="21.75" customHeight="1">
      <c r="A14" s="522" t="s">
        <v>915</v>
      </c>
      <c r="B14" s="523">
        <f>D50</f>
        <v>388586</v>
      </c>
      <c r="C14" s="524">
        <v>0</v>
      </c>
      <c r="D14" s="524">
        <v>0</v>
      </c>
      <c r="E14" s="524">
        <v>0</v>
      </c>
      <c r="F14" s="524">
        <f t="shared" si="1"/>
        <v>388586</v>
      </c>
      <c r="G14" s="524">
        <v>507398</v>
      </c>
      <c r="H14" s="524">
        <v>0</v>
      </c>
      <c r="I14" s="524">
        <v>0</v>
      </c>
      <c r="J14" s="529">
        <f t="shared" si="0"/>
        <v>507398</v>
      </c>
    </row>
    <row r="15" spans="1:11" ht="36.75" customHeight="1">
      <c r="A15" s="526" t="s">
        <v>916</v>
      </c>
      <c r="B15" s="527"/>
      <c r="C15" s="524">
        <v>0</v>
      </c>
      <c r="D15" s="524">
        <v>0</v>
      </c>
      <c r="E15" s="524">
        <v>0</v>
      </c>
      <c r="F15" s="524">
        <f t="shared" si="1"/>
        <v>0</v>
      </c>
      <c r="G15" s="524">
        <v>0</v>
      </c>
      <c r="H15" s="524">
        <v>0</v>
      </c>
      <c r="I15" s="524">
        <v>0</v>
      </c>
      <c r="J15" s="529">
        <f t="shared" si="0"/>
        <v>0</v>
      </c>
    </row>
    <row r="16" spans="1:11" ht="25.5" customHeight="1">
      <c r="A16" s="522" t="s">
        <v>917</v>
      </c>
      <c r="B16" s="525"/>
      <c r="C16" s="524">
        <v>0</v>
      </c>
      <c r="D16" s="524">
        <v>0</v>
      </c>
      <c r="E16" s="524">
        <v>0</v>
      </c>
      <c r="F16" s="524">
        <f t="shared" si="1"/>
        <v>0</v>
      </c>
      <c r="G16" s="524">
        <v>0</v>
      </c>
      <c r="H16" s="524">
        <v>0</v>
      </c>
      <c r="I16" s="524">
        <v>0</v>
      </c>
      <c r="J16" s="529">
        <f t="shared" si="0"/>
        <v>0</v>
      </c>
    </row>
    <row r="17" spans="1:10" ht="26.25" customHeight="1">
      <c r="A17" s="522" t="s">
        <v>918</v>
      </c>
      <c r="B17" s="525"/>
      <c r="C17" s="524">
        <v>0</v>
      </c>
      <c r="D17" s="524">
        <v>0</v>
      </c>
      <c r="E17" s="524">
        <v>0</v>
      </c>
      <c r="F17" s="524">
        <f t="shared" si="1"/>
        <v>0</v>
      </c>
      <c r="G17" s="524">
        <v>0</v>
      </c>
      <c r="H17" s="524">
        <v>0</v>
      </c>
      <c r="I17" s="524">
        <v>0</v>
      </c>
      <c r="J17" s="529">
        <f t="shared" si="0"/>
        <v>0</v>
      </c>
    </row>
    <row r="18" spans="1:10" ht="25.5" customHeight="1">
      <c r="A18" s="522" t="s">
        <v>919</v>
      </c>
      <c r="B18" s="525"/>
      <c r="C18" s="524">
        <v>0</v>
      </c>
      <c r="D18" s="524">
        <v>0</v>
      </c>
      <c r="E18" s="524">
        <f>SUM(E10:E17)</f>
        <v>0</v>
      </c>
      <c r="F18" s="524">
        <f t="shared" si="1"/>
        <v>0</v>
      </c>
      <c r="G18" s="524">
        <v>0</v>
      </c>
      <c r="H18" s="524">
        <v>0</v>
      </c>
      <c r="I18" s="524">
        <v>0</v>
      </c>
      <c r="J18" s="529">
        <f t="shared" si="0"/>
        <v>0</v>
      </c>
    </row>
    <row r="19" spans="1:10" ht="21.75" customHeight="1">
      <c r="A19" s="528" t="s">
        <v>920</v>
      </c>
      <c r="B19" s="523">
        <f>E50</f>
        <v>46508201</v>
      </c>
      <c r="C19" s="524">
        <v>0</v>
      </c>
      <c r="D19" s="524">
        <v>0</v>
      </c>
      <c r="E19" s="524">
        <v>0</v>
      </c>
      <c r="F19" s="524">
        <f t="shared" si="1"/>
        <v>46508201</v>
      </c>
      <c r="G19" s="524">
        <v>27106681</v>
      </c>
      <c r="H19" s="524">
        <v>0</v>
      </c>
      <c r="I19" s="524">
        <v>0</v>
      </c>
      <c r="J19" s="529">
        <f t="shared" si="0"/>
        <v>27106681</v>
      </c>
    </row>
    <row r="20" spans="1:10" ht="21.75" customHeight="1">
      <c r="A20" s="520" t="s">
        <v>32</v>
      </c>
      <c r="B20" s="520">
        <f>SUM(B8:B19)</f>
        <v>50546634</v>
      </c>
      <c r="C20" s="520">
        <f t="shared" ref="C20:J20" si="2">SUM(C8:C19)</f>
        <v>0</v>
      </c>
      <c r="D20" s="520">
        <f t="shared" si="2"/>
        <v>0</v>
      </c>
      <c r="E20" s="520">
        <f t="shared" si="2"/>
        <v>0</v>
      </c>
      <c r="F20" s="529">
        <f t="shared" si="2"/>
        <v>50546634</v>
      </c>
      <c r="G20" s="520">
        <f t="shared" si="2"/>
        <v>38643045</v>
      </c>
      <c r="H20" s="520">
        <f t="shared" si="2"/>
        <v>0</v>
      </c>
      <c r="I20" s="520">
        <f t="shared" si="2"/>
        <v>0</v>
      </c>
      <c r="J20" s="520">
        <f t="shared" si="2"/>
        <v>38643045</v>
      </c>
    </row>
    <row r="21" spans="1:10" ht="21.75" customHeight="1">
      <c r="A21" s="520" t="s">
        <v>921</v>
      </c>
      <c r="B21" s="1522"/>
      <c r="C21" s="1523"/>
      <c r="D21" s="1523"/>
      <c r="E21" s="1523"/>
      <c r="F21" s="1523"/>
      <c r="G21" s="1523"/>
      <c r="H21" s="1523"/>
      <c r="I21" s="1523"/>
      <c r="J21" s="1524"/>
    </row>
    <row r="22" spans="1:10" ht="21.75" customHeight="1">
      <c r="A22" s="522" t="s">
        <v>909</v>
      </c>
      <c r="B22" s="522"/>
      <c r="C22" s="524">
        <v>0</v>
      </c>
      <c r="D22" s="524">
        <v>0</v>
      </c>
      <c r="E22" s="524">
        <v>0</v>
      </c>
      <c r="F22" s="524">
        <f t="shared" si="1"/>
        <v>0</v>
      </c>
      <c r="G22" s="524">
        <v>0</v>
      </c>
      <c r="H22" s="524">
        <v>0</v>
      </c>
      <c r="I22" s="524">
        <v>0</v>
      </c>
      <c r="J22" s="529">
        <f t="shared" ref="J22:J33" si="3">SUM(G22:I22)</f>
        <v>0</v>
      </c>
    </row>
    <row r="23" spans="1:10" ht="21.75" customHeight="1">
      <c r="A23" s="522" t="s">
        <v>910</v>
      </c>
      <c r="B23" s="522"/>
      <c r="C23" s="524">
        <v>0</v>
      </c>
      <c r="D23" s="524">
        <v>0</v>
      </c>
      <c r="E23" s="524">
        <v>0</v>
      </c>
      <c r="F23" s="524">
        <f t="shared" si="1"/>
        <v>0</v>
      </c>
      <c r="G23" s="524">
        <v>0</v>
      </c>
      <c r="H23" s="524">
        <v>0</v>
      </c>
      <c r="I23" s="524">
        <v>0</v>
      </c>
      <c r="J23" s="529">
        <f t="shared" si="3"/>
        <v>0</v>
      </c>
    </row>
    <row r="24" spans="1:10" ht="21.75" customHeight="1">
      <c r="A24" s="522" t="s">
        <v>911</v>
      </c>
      <c r="B24" s="522"/>
      <c r="C24" s="524">
        <v>0</v>
      </c>
      <c r="D24" s="524">
        <v>0</v>
      </c>
      <c r="E24" s="524">
        <v>0</v>
      </c>
      <c r="F24" s="524">
        <f t="shared" si="1"/>
        <v>0</v>
      </c>
      <c r="G24" s="524">
        <v>0</v>
      </c>
      <c r="H24" s="524">
        <v>0</v>
      </c>
      <c r="I24" s="524">
        <v>0</v>
      </c>
      <c r="J24" s="529">
        <f t="shared" si="3"/>
        <v>0</v>
      </c>
    </row>
    <row r="25" spans="1:10" ht="21.75" customHeight="1">
      <c r="A25" s="522" t="s">
        <v>912</v>
      </c>
      <c r="B25" s="522"/>
      <c r="C25" s="524">
        <v>0</v>
      </c>
      <c r="D25" s="524">
        <v>0</v>
      </c>
      <c r="E25" s="524">
        <v>0</v>
      </c>
      <c r="F25" s="524">
        <f t="shared" si="1"/>
        <v>0</v>
      </c>
      <c r="G25" s="524">
        <v>0</v>
      </c>
      <c r="H25" s="524">
        <v>0</v>
      </c>
      <c r="I25" s="524">
        <v>0</v>
      </c>
      <c r="J25" s="529">
        <f t="shared" si="3"/>
        <v>0</v>
      </c>
    </row>
    <row r="26" spans="1:10" ht="21.75" customHeight="1">
      <c r="A26" s="522" t="s">
        <v>913</v>
      </c>
      <c r="B26" s="522"/>
      <c r="C26" s="524">
        <v>0</v>
      </c>
      <c r="D26" s="524">
        <v>0</v>
      </c>
      <c r="E26" s="524">
        <v>0</v>
      </c>
      <c r="F26" s="524">
        <f t="shared" si="1"/>
        <v>0</v>
      </c>
      <c r="G26" s="524">
        <v>0</v>
      </c>
      <c r="H26" s="524">
        <v>0</v>
      </c>
      <c r="I26" s="524">
        <v>0</v>
      </c>
      <c r="J26" s="529">
        <f t="shared" si="3"/>
        <v>0</v>
      </c>
    </row>
    <row r="27" spans="1:10" ht="21.75" customHeight="1">
      <c r="A27" s="522" t="s">
        <v>914</v>
      </c>
      <c r="B27" s="522"/>
      <c r="C27" s="524">
        <v>0</v>
      </c>
      <c r="D27" s="524">
        <v>0</v>
      </c>
      <c r="E27" s="524">
        <v>0</v>
      </c>
      <c r="F27" s="524">
        <f t="shared" si="1"/>
        <v>0</v>
      </c>
      <c r="G27" s="524">
        <v>0</v>
      </c>
      <c r="H27" s="524">
        <v>0</v>
      </c>
      <c r="I27" s="524">
        <v>0</v>
      </c>
      <c r="J27" s="529">
        <f t="shared" si="3"/>
        <v>0</v>
      </c>
    </row>
    <row r="28" spans="1:10" ht="21.75" customHeight="1">
      <c r="A28" s="522" t="s">
        <v>915</v>
      </c>
      <c r="B28" s="522"/>
      <c r="C28" s="524">
        <v>0</v>
      </c>
      <c r="D28" s="524">
        <v>0</v>
      </c>
      <c r="E28" s="524">
        <v>0</v>
      </c>
      <c r="F28" s="524">
        <f t="shared" si="1"/>
        <v>0</v>
      </c>
      <c r="G28" s="524">
        <v>0</v>
      </c>
      <c r="H28" s="524">
        <v>0</v>
      </c>
      <c r="I28" s="524">
        <v>0</v>
      </c>
      <c r="J28" s="529">
        <f t="shared" si="3"/>
        <v>0</v>
      </c>
    </row>
    <row r="29" spans="1:10" ht="36" customHeight="1">
      <c r="A29" s="526" t="s">
        <v>916</v>
      </c>
      <c r="B29" s="526"/>
      <c r="C29" s="524">
        <v>0</v>
      </c>
      <c r="D29" s="524">
        <v>0</v>
      </c>
      <c r="E29" s="524">
        <v>0</v>
      </c>
      <c r="F29" s="524">
        <f t="shared" si="1"/>
        <v>0</v>
      </c>
      <c r="G29" s="524">
        <v>0</v>
      </c>
      <c r="H29" s="524">
        <v>0</v>
      </c>
      <c r="I29" s="524">
        <v>0</v>
      </c>
      <c r="J29" s="529">
        <f t="shared" si="3"/>
        <v>0</v>
      </c>
    </row>
    <row r="30" spans="1:10" ht="21.75" customHeight="1">
      <c r="A30" s="522" t="s">
        <v>917</v>
      </c>
      <c r="B30" s="522"/>
      <c r="C30" s="524">
        <v>0</v>
      </c>
      <c r="D30" s="524">
        <v>0</v>
      </c>
      <c r="E30" s="524">
        <v>0</v>
      </c>
      <c r="F30" s="524">
        <f t="shared" si="1"/>
        <v>0</v>
      </c>
      <c r="G30" s="524">
        <v>0</v>
      </c>
      <c r="H30" s="524">
        <v>0</v>
      </c>
      <c r="I30" s="524">
        <v>0</v>
      </c>
      <c r="J30" s="529">
        <f t="shared" si="3"/>
        <v>0</v>
      </c>
    </row>
    <row r="31" spans="1:10" ht="21.75" customHeight="1">
      <c r="A31" s="522" t="s">
        <v>918</v>
      </c>
      <c r="B31" s="522"/>
      <c r="C31" s="524">
        <v>0</v>
      </c>
      <c r="D31" s="524">
        <v>0</v>
      </c>
      <c r="E31" s="524">
        <v>0</v>
      </c>
      <c r="F31" s="524">
        <f t="shared" si="1"/>
        <v>0</v>
      </c>
      <c r="G31" s="524">
        <v>0</v>
      </c>
      <c r="H31" s="524">
        <v>0</v>
      </c>
      <c r="I31" s="524">
        <v>0</v>
      </c>
      <c r="J31" s="529">
        <f t="shared" si="3"/>
        <v>0</v>
      </c>
    </row>
    <row r="32" spans="1:10" ht="21.75" customHeight="1">
      <c r="A32" s="522" t="s">
        <v>919</v>
      </c>
      <c r="B32" s="522">
        <v>62870</v>
      </c>
      <c r="C32" s="524">
        <v>0</v>
      </c>
      <c r="D32" s="524">
        <v>0</v>
      </c>
      <c r="E32" s="524">
        <v>0</v>
      </c>
      <c r="F32" s="524">
        <f t="shared" si="1"/>
        <v>62870</v>
      </c>
      <c r="G32" s="524">
        <v>93000</v>
      </c>
      <c r="H32" s="524">
        <v>0</v>
      </c>
      <c r="I32" s="524">
        <v>0</v>
      </c>
      <c r="J32" s="529">
        <f t="shared" si="3"/>
        <v>93000</v>
      </c>
    </row>
    <row r="33" spans="1:10" ht="21.75" customHeight="1">
      <c r="A33" s="528" t="s">
        <v>920</v>
      </c>
      <c r="B33" s="523">
        <f>F50</f>
        <v>14489322</v>
      </c>
      <c r="C33" s="524">
        <v>0</v>
      </c>
      <c r="D33" s="524">
        <v>0</v>
      </c>
      <c r="E33" s="524">
        <v>0</v>
      </c>
      <c r="F33" s="524">
        <f t="shared" si="1"/>
        <v>14489322</v>
      </c>
      <c r="G33" s="524">
        <v>16402066</v>
      </c>
      <c r="H33" s="524">
        <v>0</v>
      </c>
      <c r="I33" s="524">
        <v>0</v>
      </c>
      <c r="J33" s="529">
        <f t="shared" si="3"/>
        <v>16402066</v>
      </c>
    </row>
    <row r="34" spans="1:10" ht="15.95" customHeight="1">
      <c r="A34" s="520" t="s">
        <v>41</v>
      </c>
      <c r="B34" s="520">
        <f>SUM(B22:B33)</f>
        <v>14552192</v>
      </c>
      <c r="C34" s="520">
        <f t="shared" ref="C34:J34" si="4">SUM(C22:C33)</f>
        <v>0</v>
      </c>
      <c r="D34" s="520">
        <f t="shared" si="4"/>
        <v>0</v>
      </c>
      <c r="E34" s="520">
        <f t="shared" si="4"/>
        <v>0</v>
      </c>
      <c r="F34" s="520">
        <f t="shared" si="4"/>
        <v>14552192</v>
      </c>
      <c r="G34" s="520">
        <f t="shared" si="4"/>
        <v>16495066</v>
      </c>
      <c r="H34" s="520">
        <f t="shared" si="4"/>
        <v>0</v>
      </c>
      <c r="I34" s="520">
        <f t="shared" si="4"/>
        <v>0</v>
      </c>
      <c r="J34" s="520">
        <f t="shared" si="4"/>
        <v>16495066</v>
      </c>
    </row>
    <row r="35" spans="1:10">
      <c r="A35" s="520" t="s">
        <v>600</v>
      </c>
      <c r="B35" s="520">
        <f>B20+B34</f>
        <v>65098826</v>
      </c>
      <c r="C35" s="520">
        <f t="shared" ref="C35:J35" si="5">C20+C34</f>
        <v>0</v>
      </c>
      <c r="D35" s="520">
        <f t="shared" si="5"/>
        <v>0</v>
      </c>
      <c r="E35" s="520">
        <f t="shared" si="5"/>
        <v>0</v>
      </c>
      <c r="F35" s="520">
        <f t="shared" si="5"/>
        <v>65098826</v>
      </c>
      <c r="G35" s="520">
        <f t="shared" si="5"/>
        <v>55138111</v>
      </c>
      <c r="H35" s="520">
        <f t="shared" si="5"/>
        <v>0</v>
      </c>
      <c r="I35" s="520">
        <f t="shared" si="5"/>
        <v>0</v>
      </c>
      <c r="J35" s="520">
        <f t="shared" si="5"/>
        <v>55138111</v>
      </c>
    </row>
    <row r="36" spans="1:10">
      <c r="A36" s="1243"/>
      <c r="B36" s="1243"/>
      <c r="C36" s="1243"/>
      <c r="D36" s="1243"/>
      <c r="E36" s="1243"/>
      <c r="F36" s="1243"/>
      <c r="G36" s="1243"/>
      <c r="H36" s="1243"/>
      <c r="I36" s="1243"/>
      <c r="J36" s="1243"/>
    </row>
    <row r="37" spans="1:10">
      <c r="A37" s="517"/>
      <c r="B37" s="517"/>
      <c r="C37" s="518"/>
      <c r="D37" s="518"/>
      <c r="E37" s="518"/>
      <c r="F37" s="518"/>
      <c r="G37" s="518"/>
      <c r="H37" s="518"/>
      <c r="I37" s="518"/>
      <c r="J37" s="518"/>
    </row>
    <row r="38" spans="1:10">
      <c r="A38" s="517"/>
      <c r="B38" s="517"/>
      <c r="C38" s="518"/>
      <c r="D38" s="518"/>
      <c r="E38" s="518"/>
      <c r="F38" s="518"/>
      <c r="G38" s="518"/>
      <c r="H38" s="518"/>
      <c r="I38" s="518"/>
      <c r="J38" s="514" t="s">
        <v>20</v>
      </c>
    </row>
    <row r="39" spans="1:10">
      <c r="A39" s="517"/>
      <c r="B39" s="517"/>
      <c r="C39" s="518"/>
      <c r="D39" s="518"/>
      <c r="E39" s="518"/>
      <c r="F39" s="518"/>
      <c r="G39" s="518"/>
      <c r="H39" s="518"/>
      <c r="I39" s="518"/>
      <c r="J39" s="518"/>
    </row>
    <row r="40" spans="1:10">
      <c r="A40" s="426"/>
      <c r="B40" s="530" t="s">
        <v>922</v>
      </c>
      <c r="C40" s="530" t="s">
        <v>923</v>
      </c>
      <c r="D40" s="530" t="s">
        <v>924</v>
      </c>
      <c r="E40" s="530" t="s">
        <v>925</v>
      </c>
      <c r="F40" s="530" t="s">
        <v>926</v>
      </c>
      <c r="G40" s="530" t="s">
        <v>491</v>
      </c>
      <c r="H40" s="518"/>
      <c r="I40" s="518"/>
      <c r="J40" s="518"/>
    </row>
    <row r="41" spans="1:10">
      <c r="A41" s="426" t="s">
        <v>927</v>
      </c>
      <c r="B41" s="531">
        <v>5423459</v>
      </c>
      <c r="C41" s="531">
        <v>254758</v>
      </c>
      <c r="D41" s="531">
        <v>281312</v>
      </c>
      <c r="E41" s="532">
        <f>6040471+14258751</f>
        <v>20299222</v>
      </c>
      <c r="F41" s="533">
        <f>22937130</f>
        <v>22937130</v>
      </c>
      <c r="G41" s="531">
        <f>SUM(B41:F41)</f>
        <v>49195881</v>
      </c>
      <c r="H41" s="518"/>
      <c r="I41" s="518"/>
      <c r="J41" s="518"/>
    </row>
    <row r="42" spans="1:10">
      <c r="A42" s="426" t="s">
        <v>928</v>
      </c>
      <c r="B42" s="531">
        <v>2736570</v>
      </c>
      <c r="C42" s="531">
        <v>957648</v>
      </c>
      <c r="D42" s="531">
        <v>107274</v>
      </c>
      <c r="E42" s="531"/>
      <c r="F42" s="531"/>
      <c r="G42" s="531">
        <f>SUM(B42:F42)</f>
        <v>3801492</v>
      </c>
      <c r="H42" s="518"/>
      <c r="I42" s="518"/>
      <c r="J42" s="518"/>
    </row>
    <row r="43" spans="1:10">
      <c r="A43" s="426" t="s">
        <v>929</v>
      </c>
      <c r="B43" s="533"/>
      <c r="C43" s="533"/>
      <c r="D43" s="533"/>
      <c r="E43" s="533">
        <v>27542494</v>
      </c>
      <c r="F43" s="533">
        <v>15000</v>
      </c>
      <c r="G43" s="531">
        <f t="shared" ref="G43:G49" si="6">SUM(B43:F43)</f>
        <v>27557494</v>
      </c>
      <c r="H43" s="518"/>
      <c r="I43" s="518"/>
      <c r="J43" s="518"/>
    </row>
    <row r="44" spans="1:10">
      <c r="A44" s="426" t="s">
        <v>930</v>
      </c>
      <c r="B44" s="531">
        <f>4583891</f>
        <v>4583891</v>
      </c>
      <c r="C44" s="531">
        <v>1133329</v>
      </c>
      <c r="D44" s="531"/>
      <c r="E44" s="531">
        <v>1279536</v>
      </c>
      <c r="F44" s="531"/>
      <c r="G44" s="531">
        <f t="shared" si="6"/>
        <v>6996756</v>
      </c>
      <c r="H44" s="518"/>
      <c r="I44" s="518"/>
      <c r="J44" s="518"/>
    </row>
    <row r="45" spans="1:10">
      <c r="A45" s="426" t="s">
        <v>931</v>
      </c>
      <c r="B45" s="533"/>
      <c r="C45" s="533"/>
      <c r="D45" s="533"/>
      <c r="E45" s="533">
        <v>53979</v>
      </c>
      <c r="F45" s="533">
        <f>4368916+3612000</f>
        <v>7980916</v>
      </c>
      <c r="G45" s="531">
        <f t="shared" si="6"/>
        <v>8034895</v>
      </c>
      <c r="H45" s="518"/>
      <c r="I45" s="536"/>
      <c r="J45" s="518"/>
    </row>
    <row r="46" spans="1:10">
      <c r="A46" s="426" t="s">
        <v>932</v>
      </c>
      <c r="B46" s="533">
        <v>5368</v>
      </c>
      <c r="C46" s="533"/>
      <c r="D46" s="533"/>
      <c r="E46" s="533"/>
      <c r="F46" s="533">
        <v>481892</v>
      </c>
      <c r="G46" s="531">
        <f t="shared" si="6"/>
        <v>487260</v>
      </c>
      <c r="H46" s="518"/>
      <c r="I46" s="518"/>
      <c r="J46" s="518"/>
    </row>
    <row r="47" spans="1:10">
      <c r="A47" s="426" t="s">
        <v>933</v>
      </c>
      <c r="B47" s="533"/>
      <c r="C47" s="533"/>
      <c r="D47" s="533"/>
      <c r="E47" s="533"/>
      <c r="F47" s="533"/>
      <c r="G47" s="531">
        <f t="shared" si="6"/>
        <v>0</v>
      </c>
      <c r="H47" s="518"/>
      <c r="I47" s="518"/>
      <c r="J47" s="518"/>
    </row>
    <row r="48" spans="1:10">
      <c r="A48" s="426" t="s">
        <v>934</v>
      </c>
      <c r="B48" s="533"/>
      <c r="C48" s="533"/>
      <c r="D48" s="533"/>
      <c r="E48" s="533"/>
      <c r="F48" s="533"/>
      <c r="G48" s="531">
        <f t="shared" si="6"/>
        <v>0</v>
      </c>
      <c r="H48" s="518"/>
      <c r="I48" s="518"/>
      <c r="J48" s="518"/>
    </row>
    <row r="49" spans="1:14">
      <c r="A49" s="426" t="s">
        <v>935</v>
      </c>
      <c r="B49" s="533"/>
      <c r="C49" s="533"/>
      <c r="D49" s="533"/>
      <c r="E49" s="533"/>
      <c r="F49" s="533"/>
      <c r="G49" s="531">
        <f t="shared" si="6"/>
        <v>0</v>
      </c>
      <c r="H49" s="518"/>
      <c r="I49" s="518"/>
      <c r="J49" s="518"/>
    </row>
    <row r="50" spans="1:14">
      <c r="A50" s="426" t="s">
        <v>491</v>
      </c>
      <c r="B50" s="534">
        <f>B41+B42+B43-B44-B45-B46+B47+B48-B49</f>
        <v>3570770</v>
      </c>
      <c r="C50" s="534">
        <f t="shared" ref="C50:G50" si="7">C41+C42+C43-C44-C45-C46+C47+C48-C49</f>
        <v>79077</v>
      </c>
      <c r="D50" s="534">
        <f t="shared" si="7"/>
        <v>388586</v>
      </c>
      <c r="E50" s="534">
        <f t="shared" si="7"/>
        <v>46508201</v>
      </c>
      <c r="F50" s="534">
        <f t="shared" si="7"/>
        <v>14489322</v>
      </c>
      <c r="G50" s="534">
        <f t="shared" si="7"/>
        <v>65035956</v>
      </c>
      <c r="H50" s="518"/>
      <c r="I50" s="518"/>
      <c r="J50" s="518"/>
    </row>
    <row r="51" spans="1:14">
      <c r="A51" s="517"/>
      <c r="B51" s="517"/>
      <c r="C51" s="518"/>
      <c r="D51" s="518"/>
      <c r="E51" s="518"/>
      <c r="F51" s="518"/>
      <c r="G51" s="518"/>
      <c r="H51" s="518"/>
      <c r="I51" s="518"/>
      <c r="J51" s="518"/>
    </row>
    <row r="52" spans="1:14">
      <c r="A52" s="517"/>
      <c r="B52" s="517"/>
      <c r="C52" s="518"/>
      <c r="D52" s="518"/>
      <c r="E52" s="518"/>
      <c r="F52" s="518"/>
      <c r="G52" s="518"/>
      <c r="H52" s="518"/>
      <c r="I52" s="518"/>
      <c r="J52" s="518"/>
    </row>
    <row r="53" spans="1:14">
      <c r="A53" s="517"/>
      <c r="B53" s="517"/>
      <c r="C53" s="518"/>
      <c r="D53" s="518"/>
      <c r="E53" s="518"/>
      <c r="F53" s="518"/>
      <c r="G53" s="518"/>
      <c r="H53" s="518"/>
      <c r="I53" s="518"/>
      <c r="J53" s="518"/>
    </row>
    <row r="54" spans="1:14">
      <c r="A54" s="517"/>
      <c r="B54" s="517"/>
      <c r="C54" s="518"/>
      <c r="D54" s="518"/>
      <c r="E54" s="518"/>
      <c r="F54" s="518"/>
      <c r="G54" s="518"/>
      <c r="H54" s="518"/>
      <c r="I54" s="518"/>
      <c r="J54" s="537"/>
    </row>
    <row r="55" spans="1:14">
      <c r="A55" s="517"/>
      <c r="B55" s="517"/>
      <c r="C55" s="518"/>
      <c r="D55" s="518"/>
      <c r="E55" s="518"/>
      <c r="F55" s="518"/>
      <c r="G55" s="518"/>
      <c r="H55" s="518"/>
      <c r="I55" s="518"/>
      <c r="J55" s="518"/>
    </row>
    <row r="56" spans="1:14">
      <c r="A56" s="517"/>
      <c r="B56" s="517"/>
      <c r="C56" s="518"/>
      <c r="D56" s="518"/>
      <c r="E56" s="518"/>
      <c r="F56" s="518"/>
      <c r="G56" s="518"/>
      <c r="H56" s="518"/>
      <c r="I56" s="518"/>
      <c r="J56" s="518"/>
    </row>
    <row r="57" spans="1:14">
      <c r="A57" s="517"/>
      <c r="B57" s="517"/>
      <c r="C57" s="518"/>
      <c r="D57" s="518"/>
      <c r="E57" s="518"/>
      <c r="F57" s="518"/>
      <c r="G57" s="518"/>
      <c r="H57" s="518"/>
      <c r="I57" s="518"/>
      <c r="J57" s="518"/>
    </row>
    <row r="58" spans="1:14">
      <c r="A58" s="517"/>
      <c r="B58" s="517"/>
      <c r="C58" s="518"/>
      <c r="D58" s="518"/>
      <c r="E58" s="518"/>
      <c r="F58" s="518"/>
      <c r="G58" s="518"/>
      <c r="H58" s="518"/>
      <c r="I58" s="518"/>
      <c r="J58" s="518"/>
    </row>
    <row r="59" spans="1:14">
      <c r="A59" s="517"/>
      <c r="B59" s="517"/>
      <c r="C59" s="518"/>
      <c r="D59" s="518"/>
      <c r="E59" s="518"/>
      <c r="F59" s="518"/>
      <c r="G59" s="518"/>
      <c r="H59" s="518"/>
      <c r="I59" s="518"/>
      <c r="J59" s="518"/>
    </row>
    <row r="60" spans="1:14">
      <c r="A60" s="517"/>
      <c r="B60" s="517"/>
      <c r="C60" s="518"/>
      <c r="D60" s="518"/>
      <c r="E60" s="518"/>
      <c r="F60" s="518"/>
      <c r="G60" s="518"/>
      <c r="H60" s="518"/>
      <c r="I60" s="518"/>
      <c r="J60" s="518"/>
    </row>
    <row r="61" spans="1:14">
      <c r="A61" s="517"/>
      <c r="B61" s="517"/>
      <c r="C61" s="518"/>
      <c r="D61" s="518"/>
      <c r="E61" s="518"/>
      <c r="F61" s="518"/>
      <c r="G61" s="518"/>
      <c r="H61" s="518"/>
      <c r="I61" s="518"/>
      <c r="J61" s="518"/>
      <c r="N61" s="538"/>
    </row>
    <row r="62" spans="1:14">
      <c r="A62" s="517"/>
      <c r="B62" s="517"/>
      <c r="C62" s="518"/>
      <c r="D62" s="518"/>
      <c r="E62" s="518"/>
      <c r="F62" s="518"/>
      <c r="G62" s="518"/>
      <c r="H62" s="518"/>
      <c r="I62" s="518"/>
      <c r="J62" s="518"/>
    </row>
    <row r="63" spans="1:14">
      <c r="A63" s="517"/>
      <c r="B63" s="517"/>
      <c r="C63" s="518"/>
      <c r="D63" s="518"/>
      <c r="E63" s="518"/>
      <c r="F63" s="518"/>
      <c r="G63" s="518"/>
      <c r="H63" s="518"/>
      <c r="I63" s="518"/>
      <c r="J63" s="518"/>
    </row>
    <row r="64" spans="1:14">
      <c r="A64" s="517"/>
      <c r="B64" s="517"/>
      <c r="C64" s="518"/>
      <c r="D64" s="518"/>
      <c r="E64" s="518"/>
      <c r="F64" s="518"/>
      <c r="G64" s="518"/>
      <c r="H64" s="518"/>
      <c r="I64" s="518"/>
      <c r="J64" s="518"/>
    </row>
    <row r="65" spans="1:10">
      <c r="A65" s="517"/>
      <c r="B65" s="517"/>
      <c r="C65" s="518"/>
      <c r="D65" s="518"/>
      <c r="E65" s="518"/>
      <c r="F65" s="518"/>
      <c r="G65" s="518"/>
      <c r="H65" s="518"/>
      <c r="I65" s="518"/>
      <c r="J65" s="518"/>
    </row>
    <row r="66" spans="1:10">
      <c r="A66" s="517"/>
      <c r="B66" s="517"/>
      <c r="C66" s="518"/>
      <c r="D66" s="518"/>
      <c r="E66" s="518"/>
      <c r="F66" s="518"/>
      <c r="G66" s="518"/>
      <c r="H66" s="518"/>
      <c r="I66" s="518"/>
      <c r="J66" s="518"/>
    </row>
    <row r="67" spans="1:10">
      <c r="A67" s="517"/>
      <c r="B67" s="517"/>
      <c r="C67" s="518"/>
      <c r="D67" s="518"/>
      <c r="E67" s="518"/>
      <c r="F67" s="518"/>
      <c r="G67" s="518"/>
      <c r="H67" s="518"/>
      <c r="I67" s="518"/>
      <c r="J67" s="518"/>
    </row>
    <row r="68" spans="1:10">
      <c r="A68" s="517"/>
      <c r="B68" s="517"/>
      <c r="C68" s="518"/>
      <c r="D68" s="518"/>
      <c r="E68" s="518"/>
      <c r="F68" s="518"/>
      <c r="G68" s="518"/>
      <c r="H68" s="518"/>
      <c r="I68" s="518"/>
      <c r="J68" s="518"/>
    </row>
    <row r="69" spans="1:10">
      <c r="A69" s="517"/>
      <c r="B69" s="517"/>
      <c r="C69" s="518"/>
      <c r="D69" s="518"/>
      <c r="E69" s="518"/>
      <c r="F69" s="518"/>
      <c r="G69" s="518"/>
      <c r="H69" s="518"/>
      <c r="I69" s="518"/>
      <c r="J69" s="518"/>
    </row>
    <row r="70" spans="1:10">
      <c r="A70" s="517"/>
      <c r="B70" s="517"/>
      <c r="C70" s="518"/>
      <c r="D70" s="518"/>
      <c r="E70" s="518"/>
      <c r="F70" s="518"/>
      <c r="G70" s="518"/>
      <c r="H70" s="518"/>
      <c r="I70" s="518"/>
      <c r="J70" s="518"/>
    </row>
    <row r="71" spans="1:10">
      <c r="A71" s="517"/>
      <c r="B71" s="517"/>
      <c r="C71" s="518"/>
      <c r="D71" s="518"/>
      <c r="E71" s="518"/>
      <c r="F71" s="518"/>
      <c r="G71" s="518"/>
      <c r="H71" s="518"/>
      <c r="I71" s="518"/>
      <c r="J71" s="518"/>
    </row>
    <row r="72" spans="1:10">
      <c r="A72" s="517"/>
      <c r="B72" s="517"/>
      <c r="C72" s="518"/>
      <c r="D72" s="518"/>
      <c r="E72" s="518"/>
      <c r="F72" s="518"/>
      <c r="G72" s="518"/>
      <c r="H72" s="518"/>
      <c r="I72" s="518"/>
      <c r="J72" s="518"/>
    </row>
    <row r="73" spans="1:10">
      <c r="A73" s="517"/>
      <c r="B73" s="517"/>
      <c r="C73" s="518"/>
      <c r="D73" s="518"/>
      <c r="E73" s="518"/>
      <c r="F73" s="518"/>
      <c r="G73" s="518"/>
      <c r="H73" s="518"/>
      <c r="I73" s="518"/>
      <c r="J73" s="518"/>
    </row>
    <row r="74" spans="1:10">
      <c r="A74" s="517"/>
      <c r="B74" s="517"/>
      <c r="C74" s="518"/>
      <c r="D74" s="518"/>
      <c r="E74" s="518"/>
      <c r="F74" s="518"/>
      <c r="G74" s="518"/>
      <c r="H74" s="518"/>
      <c r="I74" s="518"/>
      <c r="J74" s="518"/>
    </row>
    <row r="75" spans="1:10">
      <c r="A75" s="517"/>
      <c r="B75" s="517"/>
      <c r="C75" s="518"/>
      <c r="D75" s="518"/>
      <c r="E75" s="518"/>
      <c r="F75" s="518"/>
      <c r="G75" s="518"/>
      <c r="H75" s="518"/>
      <c r="I75" s="518"/>
      <c r="J75" s="518"/>
    </row>
    <row r="76" spans="1:10">
      <c r="A76" s="517"/>
      <c r="B76" s="517"/>
      <c r="C76" s="518"/>
      <c r="D76" s="518"/>
      <c r="E76" s="518"/>
      <c r="F76" s="518"/>
      <c r="G76" s="518"/>
      <c r="H76" s="518"/>
      <c r="I76" s="518"/>
      <c r="J76" s="518"/>
    </row>
    <row r="77" spans="1:10">
      <c r="A77" s="517"/>
      <c r="B77" s="517"/>
      <c r="C77" s="518"/>
      <c r="D77" s="518"/>
      <c r="E77" s="518"/>
      <c r="F77" s="518"/>
      <c r="G77" s="518"/>
      <c r="H77" s="518"/>
      <c r="I77" s="518"/>
      <c r="J77" s="518"/>
    </row>
    <row r="78" spans="1:10">
      <c r="A78" s="517"/>
      <c r="B78" s="517"/>
      <c r="C78" s="518"/>
      <c r="D78" s="518"/>
      <c r="E78" s="518"/>
      <c r="F78" s="518"/>
      <c r="G78" s="518"/>
      <c r="H78" s="518"/>
      <c r="I78" s="518"/>
      <c r="J78" s="518"/>
    </row>
    <row r="79" spans="1:10">
      <c r="A79" s="517"/>
      <c r="B79" s="517"/>
      <c r="C79" s="518"/>
      <c r="D79" s="518"/>
      <c r="E79" s="518"/>
      <c r="F79" s="518"/>
      <c r="G79" s="518"/>
      <c r="H79" s="518"/>
      <c r="I79" s="518"/>
      <c r="J79" s="518"/>
    </row>
    <row r="80" spans="1:10">
      <c r="A80" s="517"/>
      <c r="B80" s="517"/>
      <c r="C80" s="518"/>
      <c r="D80" s="518"/>
      <c r="E80" s="518"/>
      <c r="F80" s="518"/>
      <c r="G80" s="518"/>
      <c r="H80" s="518"/>
      <c r="I80" s="518"/>
      <c r="J80" s="518"/>
    </row>
    <row r="81" spans="1:10">
      <c r="A81" s="517"/>
      <c r="B81" s="517"/>
      <c r="C81" s="518"/>
      <c r="D81" s="518"/>
      <c r="E81" s="518"/>
      <c r="F81" s="518"/>
      <c r="G81" s="518"/>
      <c r="H81" s="518"/>
      <c r="I81" s="518"/>
      <c r="J81" s="518"/>
    </row>
    <row r="82" spans="1:10">
      <c r="A82" s="517"/>
      <c r="B82" s="517"/>
      <c r="C82" s="518"/>
      <c r="D82" s="518"/>
      <c r="E82" s="518"/>
      <c r="F82" s="518"/>
      <c r="G82" s="518"/>
      <c r="H82" s="518"/>
      <c r="I82" s="518"/>
      <c r="J82" s="518"/>
    </row>
    <row r="83" spans="1:10">
      <c r="A83" s="517"/>
      <c r="B83" s="517"/>
      <c r="C83" s="518"/>
      <c r="D83" s="518"/>
      <c r="E83" s="518"/>
      <c r="F83" s="518"/>
      <c r="G83" s="518"/>
      <c r="H83" s="518"/>
      <c r="I83" s="518"/>
      <c r="J83" s="518"/>
    </row>
    <row r="84" spans="1:10">
      <c r="A84" s="517"/>
      <c r="B84" s="517"/>
      <c r="C84" s="518"/>
      <c r="D84" s="518"/>
      <c r="E84" s="518"/>
      <c r="F84" s="518"/>
      <c r="G84" s="518"/>
      <c r="H84" s="518"/>
      <c r="I84" s="518"/>
      <c r="J84" s="518"/>
    </row>
    <row r="85" spans="1:10">
      <c r="A85" s="517"/>
      <c r="B85" s="517"/>
      <c r="C85" s="518"/>
      <c r="D85" s="518"/>
      <c r="E85" s="518"/>
      <c r="F85" s="518"/>
      <c r="G85" s="518"/>
      <c r="H85" s="518"/>
      <c r="I85" s="518"/>
      <c r="J85" s="518"/>
    </row>
    <row r="86" spans="1:10">
      <c r="A86" s="517"/>
      <c r="B86" s="517"/>
      <c r="C86" s="518"/>
      <c r="D86" s="518"/>
      <c r="E86" s="518"/>
      <c r="F86" s="518"/>
      <c r="G86" s="518"/>
      <c r="H86" s="518"/>
      <c r="I86" s="518"/>
      <c r="J86" s="518"/>
    </row>
    <row r="87" spans="1:10">
      <c r="A87" s="517"/>
      <c r="B87" s="517"/>
      <c r="C87" s="518"/>
      <c r="D87" s="518"/>
      <c r="E87" s="518"/>
      <c r="F87" s="518"/>
      <c r="G87" s="518"/>
      <c r="H87" s="518"/>
      <c r="I87" s="518"/>
      <c r="J87" s="518"/>
    </row>
    <row r="88" spans="1:10">
      <c r="A88" s="517"/>
      <c r="B88" s="517"/>
      <c r="C88" s="518"/>
      <c r="D88" s="518"/>
      <c r="E88" s="518"/>
      <c r="F88" s="518"/>
      <c r="G88" s="518"/>
      <c r="H88" s="518"/>
      <c r="I88" s="518"/>
      <c r="J88" s="518"/>
    </row>
    <row r="89" spans="1:10">
      <c r="A89" s="517"/>
      <c r="B89" s="517"/>
      <c r="C89" s="518"/>
      <c r="D89" s="518"/>
      <c r="E89" s="518"/>
      <c r="F89" s="518"/>
      <c r="G89" s="518"/>
      <c r="H89" s="518"/>
      <c r="I89" s="518"/>
      <c r="J89" s="518"/>
    </row>
    <row r="90" spans="1:10">
      <c r="A90" s="517"/>
      <c r="B90" s="517"/>
      <c r="C90" s="518"/>
      <c r="D90" s="518"/>
      <c r="E90" s="518"/>
      <c r="F90" s="518"/>
      <c r="G90" s="518"/>
      <c r="H90" s="518"/>
      <c r="I90" s="518"/>
      <c r="J90" s="518"/>
    </row>
    <row r="91" spans="1:10">
      <c r="A91" s="517"/>
      <c r="B91" s="517"/>
      <c r="C91" s="518"/>
      <c r="D91" s="518"/>
      <c r="E91" s="518"/>
      <c r="F91" s="518"/>
      <c r="G91" s="518"/>
      <c r="H91" s="518"/>
      <c r="I91" s="518"/>
      <c r="J91" s="518"/>
    </row>
    <row r="92" spans="1:10">
      <c r="A92" s="517"/>
      <c r="B92" s="517"/>
      <c r="C92" s="518"/>
      <c r="D92" s="518"/>
      <c r="E92" s="518"/>
      <c r="F92" s="518"/>
      <c r="G92" s="518"/>
      <c r="H92" s="518"/>
      <c r="I92" s="518"/>
      <c r="J92" s="518"/>
    </row>
    <row r="93" spans="1:10">
      <c r="A93" s="517"/>
      <c r="B93" s="517"/>
      <c r="C93" s="518"/>
      <c r="D93" s="518"/>
      <c r="E93" s="518"/>
      <c r="F93" s="518"/>
      <c r="G93" s="518"/>
      <c r="H93" s="518"/>
      <c r="I93" s="518"/>
      <c r="J93" s="518"/>
    </row>
    <row r="94" spans="1:10">
      <c r="A94" s="517"/>
      <c r="B94" s="517"/>
      <c r="C94" s="518"/>
      <c r="D94" s="518"/>
      <c r="E94" s="518"/>
      <c r="F94" s="518"/>
      <c r="G94" s="518"/>
      <c r="H94" s="518"/>
      <c r="I94" s="518"/>
      <c r="J94" s="518"/>
    </row>
    <row r="95" spans="1:10">
      <c r="A95" s="517"/>
      <c r="B95" s="517"/>
      <c r="C95" s="518"/>
      <c r="D95" s="518"/>
      <c r="E95" s="518"/>
      <c r="F95" s="518"/>
      <c r="G95" s="518"/>
      <c r="H95" s="518"/>
      <c r="I95" s="518"/>
      <c r="J95" s="518"/>
    </row>
    <row r="96" spans="1:10">
      <c r="A96" s="517"/>
      <c r="B96" s="517"/>
      <c r="C96" s="518"/>
      <c r="D96" s="518"/>
      <c r="E96" s="518"/>
      <c r="F96" s="518"/>
      <c r="G96" s="518"/>
      <c r="H96" s="518"/>
      <c r="I96" s="518"/>
      <c r="J96" s="518"/>
    </row>
    <row r="97" spans="1:10">
      <c r="A97" s="517"/>
      <c r="B97" s="517"/>
      <c r="C97" s="518"/>
      <c r="D97" s="518"/>
      <c r="E97" s="518"/>
      <c r="F97" s="518"/>
      <c r="G97" s="518"/>
      <c r="H97" s="518"/>
      <c r="I97" s="518"/>
      <c r="J97" s="518"/>
    </row>
    <row r="98" spans="1:10">
      <c r="A98" s="517"/>
      <c r="B98" s="517"/>
      <c r="C98" s="518"/>
      <c r="D98" s="518"/>
      <c r="E98" s="518"/>
      <c r="F98" s="518"/>
      <c r="G98" s="518"/>
      <c r="H98" s="518"/>
      <c r="I98" s="518"/>
      <c r="J98" s="518"/>
    </row>
    <row r="99" spans="1:10">
      <c r="A99" s="517"/>
      <c r="B99" s="517"/>
      <c r="C99" s="518"/>
      <c r="D99" s="518"/>
      <c r="E99" s="518"/>
      <c r="F99" s="518"/>
      <c r="G99" s="518"/>
      <c r="H99" s="518"/>
      <c r="I99" s="518"/>
      <c r="J99" s="518"/>
    </row>
    <row r="100" spans="1:10">
      <c r="A100" s="517"/>
      <c r="B100" s="517"/>
      <c r="C100" s="518"/>
      <c r="D100" s="518"/>
      <c r="E100" s="518"/>
      <c r="F100" s="518"/>
      <c r="G100" s="518"/>
      <c r="H100" s="518"/>
      <c r="I100" s="518"/>
      <c r="J100" s="518"/>
    </row>
    <row r="101" spans="1:10">
      <c r="A101" s="517"/>
      <c r="B101" s="517"/>
      <c r="C101" s="518"/>
      <c r="D101" s="518"/>
      <c r="E101" s="518"/>
      <c r="F101" s="518"/>
      <c r="G101" s="518"/>
      <c r="H101" s="518"/>
      <c r="I101" s="518"/>
      <c r="J101" s="518"/>
    </row>
    <row r="102" spans="1:10">
      <c r="A102" s="517"/>
      <c r="B102" s="517"/>
      <c r="C102" s="518"/>
      <c r="D102" s="518"/>
      <c r="E102" s="518"/>
      <c r="F102" s="518"/>
      <c r="G102" s="518"/>
      <c r="H102" s="518"/>
      <c r="I102" s="518"/>
      <c r="J102" s="518"/>
    </row>
    <row r="103" spans="1:10">
      <c r="A103" s="517"/>
      <c r="B103" s="517"/>
      <c r="C103" s="518"/>
      <c r="D103" s="518"/>
      <c r="E103" s="518"/>
      <c r="F103" s="518"/>
      <c r="G103" s="518"/>
      <c r="H103" s="518"/>
      <c r="I103" s="518"/>
      <c r="J103" s="518"/>
    </row>
    <row r="104" spans="1:10">
      <c r="A104" s="517"/>
      <c r="B104" s="517"/>
      <c r="C104" s="518"/>
      <c r="D104" s="518"/>
      <c r="E104" s="518"/>
      <c r="F104" s="518"/>
      <c r="G104" s="518"/>
      <c r="H104" s="518"/>
      <c r="I104" s="518"/>
      <c r="J104" s="518"/>
    </row>
    <row r="105" spans="1:10">
      <c r="A105" s="517"/>
      <c r="B105" s="517"/>
      <c r="C105" s="518"/>
      <c r="D105" s="518"/>
      <c r="E105" s="518"/>
      <c r="F105" s="518"/>
      <c r="G105" s="518"/>
      <c r="H105" s="518"/>
      <c r="I105" s="518"/>
      <c r="J105" s="518"/>
    </row>
    <row r="106" spans="1:10">
      <c r="A106" s="517"/>
      <c r="B106" s="517"/>
      <c r="C106" s="518"/>
      <c r="D106" s="518"/>
      <c r="E106" s="518"/>
      <c r="F106" s="518"/>
      <c r="G106" s="518"/>
      <c r="H106" s="518"/>
      <c r="I106" s="518"/>
      <c r="J106" s="518"/>
    </row>
    <row r="107" spans="1:10">
      <c r="A107" s="517"/>
      <c r="B107" s="517"/>
      <c r="C107" s="518"/>
      <c r="D107" s="518"/>
      <c r="E107" s="518"/>
      <c r="F107" s="518"/>
      <c r="G107" s="518"/>
      <c r="H107" s="518"/>
      <c r="I107" s="518"/>
      <c r="J107" s="518"/>
    </row>
    <row r="108" spans="1:10">
      <c r="A108" s="517"/>
      <c r="B108" s="517"/>
      <c r="C108" s="518"/>
      <c r="D108" s="518"/>
      <c r="E108" s="518"/>
      <c r="F108" s="518"/>
      <c r="G108" s="518"/>
      <c r="H108" s="518"/>
      <c r="I108" s="518"/>
      <c r="J108" s="518"/>
    </row>
    <row r="109" spans="1:10">
      <c r="A109" s="517"/>
      <c r="B109" s="517"/>
      <c r="C109" s="518"/>
      <c r="D109" s="518"/>
      <c r="E109" s="518"/>
      <c r="F109" s="518"/>
      <c r="G109" s="518"/>
      <c r="H109" s="518"/>
      <c r="I109" s="518"/>
      <c r="J109" s="518"/>
    </row>
    <row r="110" spans="1:10">
      <c r="A110" s="517"/>
      <c r="B110" s="517"/>
      <c r="C110" s="518"/>
      <c r="D110" s="518"/>
      <c r="E110" s="518"/>
      <c r="F110" s="518"/>
      <c r="G110" s="518"/>
      <c r="H110" s="518"/>
      <c r="I110" s="518"/>
      <c r="J110" s="518"/>
    </row>
  </sheetData>
  <customSheetViews>
    <customSheetView guid="{B1076A3F-74CA-4685-9B64-0249438E4A9A}" scale="80" showPageBreaks="1" printArea="1" view="pageBreakPreview">
      <pane xSplit="1" ySplit="6" topLeftCell="B13" state="frozen"/>
      <selection activeCell="H5" sqref="H5"/>
      <pageMargins left="0" right="0" top="0" bottom="0" header="0.511811023622047" footer="0.511811023622047"/>
      <printOptions horizontalCentered="1" verticalCentered="1"/>
      <pageSetup paperSize="9" scale="74" orientation="landscape"/>
      <headerFooter alignWithMargins="0"/>
    </customSheetView>
    <customSheetView guid="{789595AE-36A2-4B02-81C2-3D94932E7381}" scale="80" showPageBreaks="1" printArea="1" view="pageBreakPreview">
      <pane xSplit="1" ySplit="6" topLeftCell="B13" state="frozen"/>
      <selection activeCell="H5" sqref="H5"/>
      <pageMargins left="0" right="0" top="0" bottom="0" header="0.511811023622047" footer="0.511811023622047"/>
      <printOptions horizontalCentered="1" verticalCentered="1"/>
      <pageSetup paperSize="9" scale="74" orientation="landscape"/>
      <headerFooter alignWithMargins="0"/>
    </customSheetView>
  </customSheetViews>
  <mergeCells count="14">
    <mergeCell ref="A1:J1"/>
    <mergeCell ref="A2:J2"/>
    <mergeCell ref="B4:F4"/>
    <mergeCell ref="G4:J4"/>
    <mergeCell ref="B5:C5"/>
    <mergeCell ref="B21:J21"/>
    <mergeCell ref="A4:A5"/>
    <mergeCell ref="D5:D6"/>
    <mergeCell ref="E5:E6"/>
    <mergeCell ref="F5:F6"/>
    <mergeCell ref="G5:G6"/>
    <mergeCell ref="H5:H6"/>
    <mergeCell ref="I5:I6"/>
    <mergeCell ref="J5:J6"/>
  </mergeCells>
  <printOptions horizontalCentered="1" verticalCentered="1"/>
  <pageMargins left="0" right="0" top="0" bottom="0" header="0.35433070866141736" footer="0.31496062992125984"/>
  <pageSetup paperSize="9" scale="54" fitToWidth="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W54"/>
  <sheetViews>
    <sheetView view="pageBreakPreview" zoomScaleNormal="106" workbookViewId="0">
      <pane xSplit="1" ySplit="5" topLeftCell="B9" activePane="bottomRight" state="frozen"/>
      <selection pane="topRight"/>
      <selection pane="bottomLeft"/>
      <selection pane="bottomRight" activeCell="F26" sqref="F26"/>
    </sheetView>
  </sheetViews>
  <sheetFormatPr defaultColWidth="9.140625" defaultRowHeight="15.75"/>
  <cols>
    <col min="1" max="1" width="48.7109375" style="498" customWidth="1"/>
    <col min="2" max="2" width="15.28515625" style="499" customWidth="1"/>
    <col min="3" max="4" width="15.5703125" style="499" customWidth="1"/>
    <col min="5" max="5" width="13.5703125" style="499" customWidth="1"/>
    <col min="6" max="6" width="12" style="499" customWidth="1"/>
    <col min="7" max="7" width="13" style="499" customWidth="1"/>
    <col min="8" max="8" width="12.7109375" style="499" customWidth="1"/>
    <col min="9" max="9" width="15.7109375" style="499" customWidth="1"/>
    <col min="10" max="10" width="14.5703125" style="499" customWidth="1"/>
    <col min="11" max="16384" width="9.140625" style="499"/>
  </cols>
  <sheetData>
    <row r="1" spans="1:23">
      <c r="A1" s="1539" t="s">
        <v>1910</v>
      </c>
      <c r="B1" s="1539"/>
      <c r="C1" s="1539"/>
      <c r="D1" s="1539"/>
      <c r="E1" s="1539"/>
      <c r="F1" s="1539"/>
      <c r="G1" s="1539"/>
      <c r="H1" s="1539"/>
      <c r="I1" s="1539"/>
      <c r="J1" s="1539"/>
    </row>
    <row r="2" spans="1:23">
      <c r="A2" s="1539" t="s">
        <v>43</v>
      </c>
      <c r="B2" s="1539"/>
      <c r="C2" s="1539"/>
      <c r="D2" s="1539"/>
      <c r="E2" s="1539"/>
      <c r="F2" s="1539"/>
      <c r="G2" s="1539"/>
      <c r="H2" s="1539"/>
      <c r="I2" s="1539"/>
      <c r="J2" s="1539"/>
    </row>
    <row r="3" spans="1:23" ht="16.5" customHeight="1">
      <c r="H3" s="501"/>
      <c r="I3" s="500"/>
      <c r="J3" s="510"/>
      <c r="W3" s="499" t="s">
        <v>936</v>
      </c>
    </row>
    <row r="4" spans="1:23" s="496" customFormat="1" ht="21.75" customHeight="1">
      <c r="A4" s="1545" t="s">
        <v>937</v>
      </c>
      <c r="B4" s="1540" t="s">
        <v>6</v>
      </c>
      <c r="C4" s="1540"/>
      <c r="D4" s="1541"/>
      <c r="E4" s="1541"/>
      <c r="F4" s="1541"/>
      <c r="G4" s="1541" t="s">
        <v>7</v>
      </c>
      <c r="H4" s="1541"/>
      <c r="I4" s="1541"/>
      <c r="J4" s="1542"/>
    </row>
    <row r="5" spans="1:23" s="497" customFormat="1" ht="21.75" customHeight="1">
      <c r="A5" s="1546"/>
      <c r="B5" s="1543" t="s">
        <v>938</v>
      </c>
      <c r="C5" s="1544"/>
      <c r="D5" s="1543" t="s">
        <v>587</v>
      </c>
      <c r="E5" s="1543" t="s">
        <v>876</v>
      </c>
      <c r="F5" s="1543" t="s">
        <v>12</v>
      </c>
      <c r="G5" s="1543" t="s">
        <v>938</v>
      </c>
      <c r="H5" s="1543" t="s">
        <v>587</v>
      </c>
      <c r="I5" s="1547" t="s">
        <v>876</v>
      </c>
      <c r="J5" s="1543" t="s">
        <v>12</v>
      </c>
    </row>
    <row r="6" spans="1:23" s="497" customFormat="1" ht="21.75" customHeight="1">
      <c r="A6" s="502"/>
      <c r="B6" s="412" t="s">
        <v>906</v>
      </c>
      <c r="C6" s="413" t="s">
        <v>907</v>
      </c>
      <c r="D6" s="1543"/>
      <c r="E6" s="1543"/>
      <c r="F6" s="1543"/>
      <c r="G6" s="1543"/>
      <c r="H6" s="1543"/>
      <c r="I6" s="1547"/>
      <c r="J6" s="1543"/>
    </row>
    <row r="7" spans="1:23">
      <c r="A7" s="503" t="s">
        <v>939</v>
      </c>
      <c r="B7" s="504"/>
      <c r="C7" s="504"/>
      <c r="D7" s="505"/>
      <c r="E7" s="505"/>
      <c r="F7" s="505"/>
      <c r="G7" s="505"/>
      <c r="H7" s="505"/>
      <c r="I7" s="505"/>
      <c r="J7" s="511"/>
    </row>
    <row r="8" spans="1:23">
      <c r="A8" s="503" t="s">
        <v>940</v>
      </c>
      <c r="B8" s="504">
        <f>'Annx to Sch.18'!G23</f>
        <v>5660112</v>
      </c>
      <c r="C8" s="504"/>
      <c r="D8" s="504">
        <v>0</v>
      </c>
      <c r="E8" s="504">
        <v>0</v>
      </c>
      <c r="F8" s="506">
        <f t="shared" ref="F8:F13" si="0">SUM(B8:E8)</f>
        <v>5660112</v>
      </c>
      <c r="G8" s="504">
        <v>5442711</v>
      </c>
      <c r="H8" s="504">
        <v>0</v>
      </c>
      <c r="I8" s="504">
        <v>0</v>
      </c>
      <c r="J8" s="512">
        <f t="shared" ref="J8:J45" si="1">SUM(G8:I8)</f>
        <v>5442711</v>
      </c>
    </row>
    <row r="9" spans="1:23">
      <c r="A9" s="503" t="s">
        <v>941</v>
      </c>
      <c r="B9" s="504">
        <f>'Annx to Sch.18'!B23</f>
        <v>8546807</v>
      </c>
      <c r="C9" s="504"/>
      <c r="D9" s="504">
        <v>0</v>
      </c>
      <c r="E9" s="504">
        <v>0</v>
      </c>
      <c r="F9" s="506">
        <f t="shared" si="0"/>
        <v>8546807</v>
      </c>
      <c r="G9" s="504">
        <v>7164915</v>
      </c>
      <c r="H9" s="504">
        <v>0</v>
      </c>
      <c r="I9" s="504">
        <v>0</v>
      </c>
      <c r="J9" s="512">
        <f t="shared" si="1"/>
        <v>7164915</v>
      </c>
    </row>
    <row r="10" spans="1:23">
      <c r="A10" s="503" t="s">
        <v>942</v>
      </c>
      <c r="B10" s="504">
        <f>'Annx to Sch.18'!C23</f>
        <v>876186</v>
      </c>
      <c r="C10" s="504"/>
      <c r="D10" s="504">
        <v>0</v>
      </c>
      <c r="E10" s="504">
        <v>0</v>
      </c>
      <c r="F10" s="506">
        <f t="shared" si="0"/>
        <v>876186</v>
      </c>
      <c r="G10" s="504">
        <v>479840</v>
      </c>
      <c r="H10" s="504">
        <v>0</v>
      </c>
      <c r="I10" s="504">
        <v>0</v>
      </c>
      <c r="J10" s="512">
        <f t="shared" si="1"/>
        <v>479840</v>
      </c>
    </row>
    <row r="11" spans="1:23">
      <c r="A11" s="503" t="s">
        <v>943</v>
      </c>
      <c r="B11" s="504">
        <f>'Annx to Sch.18'!C12</f>
        <v>9803873</v>
      </c>
      <c r="C11" s="504"/>
      <c r="D11" s="504">
        <v>0</v>
      </c>
      <c r="E11" s="504">
        <v>0</v>
      </c>
      <c r="F11" s="506">
        <f t="shared" si="0"/>
        <v>9803873</v>
      </c>
      <c r="G11" s="504">
        <v>6963403</v>
      </c>
      <c r="H11" s="504">
        <v>0</v>
      </c>
      <c r="I11" s="504">
        <v>0</v>
      </c>
      <c r="J11" s="512">
        <f t="shared" si="1"/>
        <v>6963403</v>
      </c>
    </row>
    <row r="12" spans="1:23">
      <c r="A12" s="503" t="s">
        <v>944</v>
      </c>
      <c r="B12" s="504">
        <f>'Annx to Sch.18'!H23</f>
        <v>1794348</v>
      </c>
      <c r="C12" s="504"/>
      <c r="D12" s="504">
        <v>0</v>
      </c>
      <c r="E12" s="504">
        <v>0</v>
      </c>
      <c r="F12" s="506">
        <f t="shared" si="0"/>
        <v>1794348</v>
      </c>
      <c r="G12" s="504">
        <v>2701561</v>
      </c>
      <c r="H12" s="504">
        <v>0</v>
      </c>
      <c r="I12" s="504">
        <v>0</v>
      </c>
      <c r="J12" s="512">
        <f t="shared" si="1"/>
        <v>2701561</v>
      </c>
    </row>
    <row r="13" spans="1:23">
      <c r="A13" s="503" t="s">
        <v>945</v>
      </c>
      <c r="B13" s="504">
        <f>'Annx to Sch.18'!E23</f>
        <v>56962</v>
      </c>
      <c r="C13" s="504"/>
      <c r="D13" s="504">
        <v>0</v>
      </c>
      <c r="E13" s="504">
        <v>0</v>
      </c>
      <c r="F13" s="506">
        <f t="shared" si="0"/>
        <v>56962</v>
      </c>
      <c r="G13" s="504">
        <v>79819</v>
      </c>
      <c r="H13" s="504">
        <v>0</v>
      </c>
      <c r="I13" s="504">
        <v>0</v>
      </c>
      <c r="J13" s="512">
        <f t="shared" si="1"/>
        <v>79819</v>
      </c>
    </row>
    <row r="14" spans="1:23">
      <c r="A14" s="503" t="s">
        <v>946</v>
      </c>
      <c r="B14" s="504"/>
      <c r="C14" s="504"/>
      <c r="D14" s="504"/>
      <c r="E14" s="504"/>
      <c r="F14" s="506"/>
      <c r="G14" s="504"/>
      <c r="H14" s="504"/>
      <c r="I14" s="504"/>
      <c r="J14" s="512">
        <f t="shared" si="1"/>
        <v>0</v>
      </c>
    </row>
    <row r="15" spans="1:23">
      <c r="A15" s="503" t="s">
        <v>947</v>
      </c>
      <c r="B15" s="504">
        <v>63145</v>
      </c>
      <c r="C15" s="504"/>
      <c r="D15" s="504">
        <v>0</v>
      </c>
      <c r="E15" s="504">
        <v>0</v>
      </c>
      <c r="F15" s="506">
        <f>SUM(B15:E15)</f>
        <v>63145</v>
      </c>
      <c r="G15" s="504">
        <v>124184</v>
      </c>
      <c r="H15" s="504">
        <v>0</v>
      </c>
      <c r="I15" s="504">
        <v>0</v>
      </c>
      <c r="J15" s="512">
        <f t="shared" si="1"/>
        <v>124184</v>
      </c>
    </row>
    <row r="16" spans="1:23">
      <c r="A16" s="503" t="s">
        <v>948</v>
      </c>
      <c r="B16" s="504">
        <f>'Annx to Sch.18'!D23</f>
        <v>214078</v>
      </c>
      <c r="C16" s="504"/>
      <c r="D16" s="504">
        <v>0</v>
      </c>
      <c r="E16" s="504">
        <v>0</v>
      </c>
      <c r="F16" s="506">
        <f>SUM(B16:E16)</f>
        <v>214078</v>
      </c>
      <c r="G16" s="504">
        <v>1825944</v>
      </c>
      <c r="H16" s="504">
        <v>0</v>
      </c>
      <c r="I16" s="504">
        <v>0</v>
      </c>
      <c r="J16" s="512">
        <f t="shared" si="1"/>
        <v>1825944</v>
      </c>
    </row>
    <row r="17" spans="1:10">
      <c r="A17" s="503" t="s">
        <v>949</v>
      </c>
      <c r="B17" s="504"/>
      <c r="C17" s="504"/>
      <c r="D17" s="504"/>
      <c r="E17" s="504"/>
      <c r="F17" s="506"/>
      <c r="G17" s="504"/>
      <c r="H17" s="504"/>
      <c r="I17" s="504"/>
      <c r="J17" s="512">
        <f t="shared" si="1"/>
        <v>0</v>
      </c>
    </row>
    <row r="18" spans="1:10">
      <c r="A18" s="503" t="s">
        <v>950</v>
      </c>
      <c r="B18" s="504">
        <f>'Annx to Sch.18'!E12</f>
        <v>7476633</v>
      </c>
      <c r="C18" s="504"/>
      <c r="D18" s="504">
        <v>0</v>
      </c>
      <c r="E18" s="504">
        <v>0</v>
      </c>
      <c r="F18" s="506">
        <f t="shared" ref="F18:F24" si="2">SUM(B18:E18)</f>
        <v>7476633</v>
      </c>
      <c r="G18" s="504">
        <v>10281686</v>
      </c>
      <c r="H18" s="504">
        <v>0</v>
      </c>
      <c r="I18" s="504">
        <v>0</v>
      </c>
      <c r="J18" s="512">
        <f t="shared" si="1"/>
        <v>10281686</v>
      </c>
    </row>
    <row r="19" spans="1:10">
      <c r="A19" s="503" t="s">
        <v>951</v>
      </c>
      <c r="B19" s="504">
        <f>'Annx to Sch.18'!B12</f>
        <v>3750633</v>
      </c>
      <c r="C19" s="504"/>
      <c r="D19" s="504">
        <v>0</v>
      </c>
      <c r="E19" s="504">
        <v>0</v>
      </c>
      <c r="F19" s="506">
        <f t="shared" si="2"/>
        <v>3750633</v>
      </c>
      <c r="G19" s="504">
        <v>4780706</v>
      </c>
      <c r="H19" s="504">
        <v>0</v>
      </c>
      <c r="I19" s="504">
        <v>0</v>
      </c>
      <c r="J19" s="512">
        <f t="shared" si="1"/>
        <v>4780706</v>
      </c>
    </row>
    <row r="20" spans="1:10">
      <c r="A20" s="503" t="s">
        <v>952</v>
      </c>
      <c r="B20" s="504">
        <v>16150</v>
      </c>
      <c r="C20" s="504"/>
      <c r="D20" s="504">
        <v>0</v>
      </c>
      <c r="E20" s="504">
        <v>0</v>
      </c>
      <c r="F20" s="506">
        <f t="shared" si="2"/>
        <v>16150</v>
      </c>
      <c r="G20" s="504">
        <v>30270</v>
      </c>
      <c r="H20" s="504">
        <v>0</v>
      </c>
      <c r="I20" s="504">
        <v>0</v>
      </c>
      <c r="J20" s="512">
        <f t="shared" si="1"/>
        <v>30270</v>
      </c>
    </row>
    <row r="21" spans="1:10">
      <c r="A21" s="503" t="s">
        <v>953</v>
      </c>
      <c r="B21" s="504">
        <v>892193</v>
      </c>
      <c r="C21" s="504"/>
      <c r="D21" s="504">
        <v>0</v>
      </c>
      <c r="E21" s="504">
        <v>0</v>
      </c>
      <c r="F21" s="506">
        <f t="shared" si="2"/>
        <v>892193</v>
      </c>
      <c r="G21" s="504">
        <v>2843733</v>
      </c>
      <c r="H21" s="504">
        <v>0</v>
      </c>
      <c r="I21" s="504">
        <v>0</v>
      </c>
      <c r="J21" s="512">
        <f t="shared" si="1"/>
        <v>2843733</v>
      </c>
    </row>
    <row r="22" spans="1:10">
      <c r="A22" s="503" t="s">
        <v>954</v>
      </c>
      <c r="B22" s="504">
        <f>'Annx to Sch.18'!D12</f>
        <v>5423172</v>
      </c>
      <c r="C22" s="504"/>
      <c r="D22" s="504">
        <v>0</v>
      </c>
      <c r="E22" s="504">
        <v>0</v>
      </c>
      <c r="F22" s="506">
        <f t="shared" si="2"/>
        <v>5423172</v>
      </c>
      <c r="G22" s="504">
        <v>1296404</v>
      </c>
      <c r="H22" s="504">
        <v>0</v>
      </c>
      <c r="I22" s="504">
        <v>0</v>
      </c>
      <c r="J22" s="512">
        <f t="shared" si="1"/>
        <v>1296404</v>
      </c>
    </row>
    <row r="23" spans="1:10">
      <c r="A23" s="503" t="s">
        <v>955</v>
      </c>
      <c r="B23" s="504">
        <v>433681</v>
      </c>
      <c r="C23" s="504"/>
      <c r="D23" s="504">
        <v>0</v>
      </c>
      <c r="E23" s="504">
        <v>0</v>
      </c>
      <c r="F23" s="506">
        <f t="shared" si="2"/>
        <v>433681</v>
      </c>
      <c r="G23" s="504">
        <v>360628</v>
      </c>
      <c r="H23" s="504">
        <v>0</v>
      </c>
      <c r="I23" s="504">
        <v>0</v>
      </c>
      <c r="J23" s="512">
        <f t="shared" si="1"/>
        <v>360628</v>
      </c>
    </row>
    <row r="24" spans="1:10">
      <c r="A24" s="503" t="s">
        <v>956</v>
      </c>
      <c r="B24" s="504">
        <v>0</v>
      </c>
      <c r="C24" s="504"/>
      <c r="D24" s="504">
        <v>0</v>
      </c>
      <c r="E24" s="504">
        <v>0</v>
      </c>
      <c r="F24" s="506">
        <f t="shared" si="2"/>
        <v>0</v>
      </c>
      <c r="G24" s="504">
        <v>0</v>
      </c>
      <c r="H24" s="504">
        <v>0</v>
      </c>
      <c r="I24" s="504">
        <v>0</v>
      </c>
      <c r="J24" s="512">
        <f t="shared" si="1"/>
        <v>0</v>
      </c>
    </row>
    <row r="25" spans="1:10">
      <c r="A25" s="503" t="s">
        <v>957</v>
      </c>
      <c r="B25" s="504"/>
      <c r="C25" s="504"/>
      <c r="D25" s="504"/>
      <c r="E25" s="504"/>
      <c r="F25" s="506"/>
      <c r="G25" s="504"/>
      <c r="H25" s="504"/>
      <c r="I25" s="504"/>
      <c r="J25" s="512">
        <f t="shared" si="1"/>
        <v>0</v>
      </c>
    </row>
    <row r="26" spans="1:10">
      <c r="A26" s="503" t="s">
        <v>958</v>
      </c>
      <c r="B26" s="504">
        <f>'Annx to Sch.18'!F23</f>
        <v>980297</v>
      </c>
      <c r="C26" s="504"/>
      <c r="D26" s="504">
        <v>0</v>
      </c>
      <c r="E26" s="504">
        <v>0</v>
      </c>
      <c r="F26" s="506">
        <f>SUM(B26:E26)</f>
        <v>980297</v>
      </c>
      <c r="G26" s="504">
        <v>384793</v>
      </c>
      <c r="H26" s="504">
        <v>0</v>
      </c>
      <c r="I26" s="504">
        <v>0</v>
      </c>
      <c r="J26" s="512">
        <f t="shared" si="1"/>
        <v>384793</v>
      </c>
    </row>
    <row r="27" spans="1:10">
      <c r="A27" s="503" t="s">
        <v>959</v>
      </c>
      <c r="D27" s="504"/>
      <c r="E27" s="504"/>
      <c r="F27" s="506"/>
      <c r="G27" s="504"/>
      <c r="H27" s="504"/>
      <c r="I27" s="504"/>
      <c r="J27" s="512">
        <f t="shared" si="1"/>
        <v>0</v>
      </c>
    </row>
    <row r="28" spans="1:10">
      <c r="A28" s="503" t="s">
        <v>960</v>
      </c>
      <c r="B28" s="504">
        <v>874168</v>
      </c>
      <c r="C28" s="504"/>
      <c r="D28" s="504">
        <v>0</v>
      </c>
      <c r="E28" s="504">
        <v>0</v>
      </c>
      <c r="F28" s="506">
        <f>SUM(B28:E28)</f>
        <v>874168</v>
      </c>
      <c r="G28" s="504">
        <v>870918</v>
      </c>
      <c r="H28" s="504">
        <v>0</v>
      </c>
      <c r="I28" s="504">
        <v>0</v>
      </c>
      <c r="J28" s="512">
        <f t="shared" si="1"/>
        <v>870918</v>
      </c>
    </row>
    <row r="29" spans="1:10">
      <c r="A29" s="503" t="s">
        <v>961</v>
      </c>
      <c r="B29" s="504">
        <f>'Annx to Sch.18'!F12</f>
        <v>3456400</v>
      </c>
      <c r="C29" s="504">
        <v>147071</v>
      </c>
      <c r="D29" s="504">
        <v>0</v>
      </c>
      <c r="E29" s="504">
        <v>0</v>
      </c>
      <c r="F29" s="506">
        <f>SUM(B29:E29)</f>
        <v>3603471</v>
      </c>
      <c r="G29" s="504">
        <v>3536100</v>
      </c>
      <c r="H29" s="504">
        <v>0</v>
      </c>
      <c r="I29" s="504">
        <v>0</v>
      </c>
      <c r="J29" s="512">
        <f t="shared" si="1"/>
        <v>3536100</v>
      </c>
    </row>
    <row r="30" spans="1:10">
      <c r="A30" s="503" t="s">
        <v>962</v>
      </c>
      <c r="D30" s="504"/>
      <c r="E30" s="504"/>
      <c r="F30" s="506"/>
      <c r="G30" s="504"/>
      <c r="H30" s="504"/>
      <c r="I30" s="504"/>
      <c r="J30" s="512">
        <f t="shared" si="1"/>
        <v>0</v>
      </c>
    </row>
    <row r="31" spans="1:10">
      <c r="A31" s="503" t="s">
        <v>963</v>
      </c>
      <c r="B31" s="504">
        <v>0</v>
      </c>
      <c r="C31" s="504"/>
      <c r="D31" s="504">
        <v>0</v>
      </c>
      <c r="E31" s="504">
        <v>0</v>
      </c>
      <c r="F31" s="506">
        <f t="shared" ref="F31:F38" si="3">SUM(B31:E31)</f>
        <v>0</v>
      </c>
      <c r="G31" s="504">
        <v>0</v>
      </c>
      <c r="H31" s="504">
        <v>0</v>
      </c>
      <c r="I31" s="504">
        <v>0</v>
      </c>
      <c r="J31" s="512">
        <f t="shared" si="1"/>
        <v>0</v>
      </c>
    </row>
    <row r="32" spans="1:10">
      <c r="A32" s="503" t="s">
        <v>964</v>
      </c>
      <c r="B32" s="504">
        <v>0</v>
      </c>
      <c r="C32" s="504"/>
      <c r="D32" s="504">
        <v>0</v>
      </c>
      <c r="E32" s="504">
        <v>0</v>
      </c>
      <c r="F32" s="506">
        <f t="shared" si="3"/>
        <v>0</v>
      </c>
      <c r="G32" s="504">
        <v>6807</v>
      </c>
      <c r="H32" s="504">
        <v>0</v>
      </c>
      <c r="I32" s="504">
        <v>0</v>
      </c>
      <c r="J32" s="512">
        <f t="shared" si="1"/>
        <v>6807</v>
      </c>
    </row>
    <row r="33" spans="1:10">
      <c r="A33" s="503" t="s">
        <v>965</v>
      </c>
      <c r="B33" s="504">
        <v>79700</v>
      </c>
      <c r="C33" s="504"/>
      <c r="D33" s="504">
        <v>0</v>
      </c>
      <c r="E33" s="504">
        <v>0</v>
      </c>
      <c r="F33" s="506">
        <f t="shared" si="3"/>
        <v>79700</v>
      </c>
      <c r="G33" s="504">
        <v>60800</v>
      </c>
      <c r="H33" s="504">
        <v>0</v>
      </c>
      <c r="I33" s="504">
        <v>0</v>
      </c>
      <c r="J33" s="512">
        <f t="shared" si="1"/>
        <v>60800</v>
      </c>
    </row>
    <row r="34" spans="1:10">
      <c r="A34" s="503" t="s">
        <v>966</v>
      </c>
      <c r="B34" s="504">
        <v>0</v>
      </c>
      <c r="C34" s="504"/>
      <c r="D34" s="504">
        <v>0</v>
      </c>
      <c r="E34" s="504">
        <v>0</v>
      </c>
      <c r="F34" s="506">
        <f t="shared" si="3"/>
        <v>0</v>
      </c>
      <c r="G34" s="504">
        <v>0</v>
      </c>
      <c r="H34" s="504">
        <v>0</v>
      </c>
      <c r="I34" s="504">
        <v>0</v>
      </c>
      <c r="J34" s="512">
        <f t="shared" si="1"/>
        <v>0</v>
      </c>
    </row>
    <row r="35" spans="1:10">
      <c r="A35" s="503" t="s">
        <v>967</v>
      </c>
      <c r="B35" s="504">
        <v>226342</v>
      </c>
      <c r="C35" s="504"/>
      <c r="D35" s="504">
        <v>0</v>
      </c>
      <c r="E35" s="504">
        <v>0</v>
      </c>
      <c r="F35" s="506">
        <f t="shared" si="3"/>
        <v>226342</v>
      </c>
      <c r="G35" s="507">
        <v>68402</v>
      </c>
      <c r="H35" s="504">
        <v>0</v>
      </c>
      <c r="I35" s="504">
        <v>0</v>
      </c>
      <c r="J35" s="512">
        <f t="shared" si="1"/>
        <v>68402</v>
      </c>
    </row>
    <row r="36" spans="1:10">
      <c r="A36" s="503" t="s">
        <v>968</v>
      </c>
      <c r="B36" s="504">
        <v>0</v>
      </c>
      <c r="C36" s="504"/>
      <c r="D36" s="504">
        <v>0</v>
      </c>
      <c r="E36" s="504">
        <v>0</v>
      </c>
      <c r="F36" s="506">
        <f t="shared" si="3"/>
        <v>0</v>
      </c>
      <c r="G36" s="504">
        <v>0</v>
      </c>
      <c r="H36" s="504">
        <v>0</v>
      </c>
      <c r="I36" s="504">
        <v>0</v>
      </c>
      <c r="J36" s="512">
        <f t="shared" si="1"/>
        <v>0</v>
      </c>
    </row>
    <row r="37" spans="1:10">
      <c r="A37" s="503" t="s">
        <v>969</v>
      </c>
      <c r="B37" s="504">
        <f>331485-8500</f>
        <v>322985</v>
      </c>
      <c r="C37" s="504"/>
      <c r="D37" s="504">
        <v>0</v>
      </c>
      <c r="E37" s="504">
        <v>0</v>
      </c>
      <c r="F37" s="506">
        <f t="shared" si="3"/>
        <v>322985</v>
      </c>
      <c r="G37" s="504">
        <v>20875</v>
      </c>
      <c r="H37" s="504">
        <v>0</v>
      </c>
      <c r="I37" s="504">
        <v>0</v>
      </c>
      <c r="J37" s="512">
        <f t="shared" si="1"/>
        <v>20875</v>
      </c>
    </row>
    <row r="38" spans="1:10">
      <c r="A38" s="503" t="s">
        <v>970</v>
      </c>
      <c r="B38" s="504">
        <v>0</v>
      </c>
      <c r="C38" s="504"/>
      <c r="D38" s="504">
        <v>0</v>
      </c>
      <c r="E38" s="504">
        <v>0</v>
      </c>
      <c r="F38" s="506">
        <f t="shared" si="3"/>
        <v>0</v>
      </c>
      <c r="G38" s="504">
        <v>0</v>
      </c>
      <c r="H38" s="504">
        <v>0</v>
      </c>
      <c r="I38" s="504">
        <v>0</v>
      </c>
      <c r="J38" s="512">
        <f t="shared" si="1"/>
        <v>0</v>
      </c>
    </row>
    <row r="39" spans="1:10">
      <c r="A39" s="503" t="s">
        <v>971</v>
      </c>
      <c r="D39" s="504"/>
      <c r="E39" s="504"/>
      <c r="F39" s="506"/>
      <c r="G39" s="504"/>
      <c r="H39" s="504"/>
      <c r="I39" s="504"/>
      <c r="J39" s="512">
        <f t="shared" si="1"/>
        <v>0</v>
      </c>
    </row>
    <row r="40" spans="1:10">
      <c r="A40" s="503" t="s">
        <v>972</v>
      </c>
      <c r="B40" s="504">
        <v>1933416</v>
      </c>
      <c r="C40" s="504"/>
      <c r="D40" s="504">
        <v>0</v>
      </c>
      <c r="E40" s="504">
        <v>0</v>
      </c>
      <c r="F40" s="506">
        <f>SUM(B40:E40)</f>
        <v>1933416</v>
      </c>
      <c r="G40" s="504">
        <v>1823233</v>
      </c>
      <c r="H40" s="504">
        <v>0</v>
      </c>
      <c r="I40" s="504">
        <v>0</v>
      </c>
      <c r="J40" s="512">
        <f t="shared" si="1"/>
        <v>1823233</v>
      </c>
    </row>
    <row r="41" spans="1:10">
      <c r="A41" s="503" t="s">
        <v>973</v>
      </c>
      <c r="B41" s="504">
        <v>0</v>
      </c>
      <c r="C41" s="504"/>
      <c r="D41" s="504">
        <v>0</v>
      </c>
      <c r="E41" s="504">
        <v>0</v>
      </c>
      <c r="F41" s="506">
        <f>SUM(B41:E41)</f>
        <v>0</v>
      </c>
      <c r="G41" s="504">
        <v>0</v>
      </c>
      <c r="H41" s="504">
        <v>0</v>
      </c>
      <c r="I41" s="504">
        <v>0</v>
      </c>
      <c r="J41" s="512">
        <f t="shared" si="1"/>
        <v>0</v>
      </c>
    </row>
    <row r="42" spans="1:10">
      <c r="A42" s="503" t="s">
        <v>974</v>
      </c>
      <c r="B42" s="504"/>
      <c r="C42" s="504"/>
      <c r="D42" s="504"/>
      <c r="E42" s="504"/>
      <c r="F42" s="506"/>
      <c r="G42" s="504"/>
      <c r="H42" s="504"/>
      <c r="I42" s="504"/>
      <c r="J42" s="512">
        <f t="shared" si="1"/>
        <v>0</v>
      </c>
    </row>
    <row r="43" spans="1:10">
      <c r="A43" s="503" t="s">
        <v>975</v>
      </c>
      <c r="B43" s="504">
        <v>0</v>
      </c>
      <c r="C43" s="504"/>
      <c r="D43" s="504">
        <v>0</v>
      </c>
      <c r="E43" s="504">
        <v>0</v>
      </c>
      <c r="F43" s="506">
        <f>SUM(B43:E43)</f>
        <v>0</v>
      </c>
      <c r="G43" s="504">
        <v>0</v>
      </c>
      <c r="H43" s="504">
        <v>0</v>
      </c>
      <c r="I43" s="504">
        <v>0</v>
      </c>
      <c r="J43" s="512">
        <f t="shared" si="1"/>
        <v>0</v>
      </c>
    </row>
    <row r="44" spans="1:10">
      <c r="A44" s="503" t="s">
        <v>976</v>
      </c>
      <c r="B44" s="504"/>
      <c r="C44" s="504"/>
      <c r="D44" s="504"/>
      <c r="E44" s="504"/>
      <c r="F44" s="506"/>
      <c r="G44" s="504"/>
      <c r="H44" s="504"/>
      <c r="I44" s="504"/>
      <c r="J44" s="512">
        <f t="shared" si="1"/>
        <v>0</v>
      </c>
    </row>
    <row r="45" spans="1:10">
      <c r="A45" s="503" t="s">
        <v>977</v>
      </c>
      <c r="B45" s="504">
        <f>'Annx to Sch.18'!H12</f>
        <v>1408327</v>
      </c>
      <c r="C45" s="504">
        <f>20492939+11775</f>
        <v>20504714</v>
      </c>
      <c r="D45" s="504">
        <v>0</v>
      </c>
      <c r="E45" s="504">
        <v>0</v>
      </c>
      <c r="F45" s="506">
        <f>SUM(B45:E45)</f>
        <v>21913041</v>
      </c>
      <c r="G45" s="504">
        <v>16553905</v>
      </c>
      <c r="H45" s="504">
        <v>0</v>
      </c>
      <c r="I45" s="504">
        <v>0</v>
      </c>
      <c r="J45" s="512">
        <f t="shared" si="1"/>
        <v>16553905</v>
      </c>
    </row>
    <row r="46" spans="1:10">
      <c r="A46" s="508" t="s">
        <v>12</v>
      </c>
      <c r="B46" s="509">
        <f t="shared" ref="B46:J46" si="4">SUM(B8:B45)</f>
        <v>54289608</v>
      </c>
      <c r="C46" s="509">
        <f t="shared" si="4"/>
        <v>20651785</v>
      </c>
      <c r="D46" s="509">
        <f t="shared" si="4"/>
        <v>0</v>
      </c>
      <c r="E46" s="509">
        <f t="shared" si="4"/>
        <v>0</v>
      </c>
      <c r="F46" s="509">
        <f t="shared" si="4"/>
        <v>74941393</v>
      </c>
      <c r="G46" s="509">
        <f t="shared" si="4"/>
        <v>67701637</v>
      </c>
      <c r="H46" s="509">
        <f t="shared" si="4"/>
        <v>0</v>
      </c>
      <c r="I46" s="509">
        <f t="shared" si="4"/>
        <v>0</v>
      </c>
      <c r="J46" s="513">
        <f t="shared" si="4"/>
        <v>67701637</v>
      </c>
    </row>
    <row r="48" spans="1:10">
      <c r="F48" s="498"/>
    </row>
    <row r="49" spans="3:10">
      <c r="J49" s="514" t="s">
        <v>20</v>
      </c>
    </row>
    <row r="53" spans="3:10">
      <c r="C53" s="499">
        <f>C46+'(35) Sch17'!C35</f>
        <v>20651785</v>
      </c>
    </row>
    <row r="54" spans="3:10">
      <c r="C54" s="499">
        <v>53238</v>
      </c>
    </row>
  </sheetData>
  <customSheetViews>
    <customSheetView guid="{B1076A3F-74CA-4685-9B64-0249438E4A9A}" showPageBreaks="1" printArea="1" view="pageBreakPreview">
      <pane xSplit="1" ySplit="5" topLeftCell="B9" state="frozen"/>
      <selection activeCell="G17" sqref="G17"/>
      <pageMargins left="0" right="0" top="0" bottom="0" header="0.511811023622047" footer="0.78740157480314998"/>
      <printOptions horizontalCentered="1" verticalCentered="1"/>
      <pageSetup paperSize="9" scale="75" orientation="landscape"/>
      <headerFooter alignWithMargins="0"/>
    </customSheetView>
    <customSheetView guid="{789595AE-36A2-4B02-81C2-3D94932E7381}" showPageBreaks="1" printArea="1" view="pageBreakPreview">
      <pane xSplit="1" ySplit="5" topLeftCell="B6" state="frozen"/>
      <selection activeCell="G5" sqref="G5"/>
      <pageMargins left="0" right="0" top="0" bottom="0" header="0.511811023622047" footer="0.78740157480314998"/>
      <printOptions horizontalCentered="1" verticalCentered="1"/>
      <pageSetup paperSize="9" scale="75" orientation="landscape"/>
      <headerFooter alignWithMargins="0"/>
    </customSheetView>
  </customSheetViews>
  <mergeCells count="13">
    <mergeCell ref="A1:J1"/>
    <mergeCell ref="A2:J2"/>
    <mergeCell ref="B4:F4"/>
    <mergeCell ref="G4:J4"/>
    <mergeCell ref="B5:C5"/>
    <mergeCell ref="A4:A5"/>
    <mergeCell ref="D5:D6"/>
    <mergeCell ref="E5:E6"/>
    <mergeCell ref="F5:F6"/>
    <mergeCell ref="G5:G6"/>
    <mergeCell ref="H5:H6"/>
    <mergeCell ref="I5:I6"/>
    <mergeCell ref="J5:J6"/>
  </mergeCells>
  <printOptions horizontalCentered="1" verticalCentered="1"/>
  <pageMargins left="0" right="0" top="0" bottom="0" header="0.35433070866141703" footer="0.31496062992126"/>
  <pageSetup paperSize="9" scale="72"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K31"/>
  <sheetViews>
    <sheetView view="pageBreakPreview" zoomScale="60" zoomScaleNormal="100" workbookViewId="0">
      <selection activeCell="E22" sqref="E22"/>
    </sheetView>
  </sheetViews>
  <sheetFormatPr defaultColWidth="16.7109375" defaultRowHeight="12.75"/>
  <cols>
    <col min="1" max="1" width="31.28515625" customWidth="1"/>
    <col min="257" max="257" width="31.28515625" customWidth="1"/>
    <col min="513" max="513" width="31.28515625" customWidth="1"/>
    <col min="769" max="769" width="31.28515625" customWidth="1"/>
    <col min="1025" max="1025" width="31.28515625" customWidth="1"/>
    <col min="1281" max="1281" width="31.28515625" customWidth="1"/>
    <col min="1537" max="1537" width="31.28515625" customWidth="1"/>
    <col min="1793" max="1793" width="31.28515625" customWidth="1"/>
    <col min="2049" max="2049" width="31.28515625" customWidth="1"/>
    <col min="2305" max="2305" width="31.28515625" customWidth="1"/>
    <col min="2561" max="2561" width="31.28515625" customWidth="1"/>
    <col min="2817" max="2817" width="31.28515625" customWidth="1"/>
    <col min="3073" max="3073" width="31.28515625" customWidth="1"/>
    <col min="3329" max="3329" width="31.28515625" customWidth="1"/>
    <col min="3585" max="3585" width="31.28515625" customWidth="1"/>
    <col min="3841" max="3841" width="31.28515625" customWidth="1"/>
    <col min="4097" max="4097" width="31.28515625" customWidth="1"/>
    <col min="4353" max="4353" width="31.28515625" customWidth="1"/>
    <col min="4609" max="4609" width="31.28515625" customWidth="1"/>
    <col min="4865" max="4865" width="31.28515625" customWidth="1"/>
    <col min="5121" max="5121" width="31.28515625" customWidth="1"/>
    <col min="5377" max="5377" width="31.28515625" customWidth="1"/>
    <col min="5633" max="5633" width="31.28515625" customWidth="1"/>
    <col min="5889" max="5889" width="31.28515625" customWidth="1"/>
    <col min="6145" max="6145" width="31.28515625" customWidth="1"/>
    <col min="6401" max="6401" width="31.28515625" customWidth="1"/>
    <col min="6657" max="6657" width="31.28515625" customWidth="1"/>
    <col min="6913" max="6913" width="31.28515625" customWidth="1"/>
    <col min="7169" max="7169" width="31.28515625" customWidth="1"/>
    <col min="7425" max="7425" width="31.28515625" customWidth="1"/>
    <col min="7681" max="7681" width="31.28515625" customWidth="1"/>
    <col min="7937" max="7937" width="31.28515625" customWidth="1"/>
    <col min="8193" max="8193" width="31.28515625" customWidth="1"/>
    <col min="8449" max="8449" width="31.28515625" customWidth="1"/>
    <col min="8705" max="8705" width="31.28515625" customWidth="1"/>
    <col min="8961" max="8961" width="31.28515625" customWidth="1"/>
    <col min="9217" max="9217" width="31.28515625" customWidth="1"/>
    <col min="9473" max="9473" width="31.28515625" customWidth="1"/>
    <col min="9729" max="9729" width="31.28515625" customWidth="1"/>
    <col min="9985" max="9985" width="31.28515625" customWidth="1"/>
    <col min="10241" max="10241" width="31.28515625" customWidth="1"/>
    <col min="10497" max="10497" width="31.28515625" customWidth="1"/>
    <col min="10753" max="10753" width="31.28515625" customWidth="1"/>
    <col min="11009" max="11009" width="31.28515625" customWidth="1"/>
    <col min="11265" max="11265" width="31.28515625" customWidth="1"/>
    <col min="11521" max="11521" width="31.28515625" customWidth="1"/>
    <col min="11777" max="11777" width="31.28515625" customWidth="1"/>
    <col min="12033" max="12033" width="31.28515625" customWidth="1"/>
    <col min="12289" max="12289" width="31.28515625" customWidth="1"/>
    <col min="12545" max="12545" width="31.28515625" customWidth="1"/>
    <col min="12801" max="12801" width="31.28515625" customWidth="1"/>
    <col min="13057" max="13057" width="31.28515625" customWidth="1"/>
    <col min="13313" max="13313" width="31.28515625" customWidth="1"/>
    <col min="13569" max="13569" width="31.28515625" customWidth="1"/>
    <col min="13825" max="13825" width="31.28515625" customWidth="1"/>
    <col min="14081" max="14081" width="31.28515625" customWidth="1"/>
    <col min="14337" max="14337" width="31.28515625" customWidth="1"/>
    <col min="14593" max="14593" width="31.28515625" customWidth="1"/>
    <col min="14849" max="14849" width="31.28515625" customWidth="1"/>
    <col min="15105" max="15105" width="31.28515625" customWidth="1"/>
    <col min="15361" max="15361" width="31.28515625" customWidth="1"/>
    <col min="15617" max="15617" width="31.28515625" customWidth="1"/>
    <col min="15873" max="15873" width="31.28515625" customWidth="1"/>
    <col min="16129" max="16129" width="31.28515625" customWidth="1"/>
  </cols>
  <sheetData>
    <row r="2" spans="1:11" ht="25.5">
      <c r="A2" s="475"/>
      <c r="B2" s="476" t="s">
        <v>978</v>
      </c>
      <c r="C2" s="81" t="s">
        <v>979</v>
      </c>
      <c r="D2" s="476" t="s">
        <v>980</v>
      </c>
      <c r="E2" s="81" t="s">
        <v>981</v>
      </c>
      <c r="F2" s="81" t="s">
        <v>982</v>
      </c>
      <c r="G2" s="477" t="s">
        <v>983</v>
      </c>
      <c r="H2" s="81" t="s">
        <v>984</v>
      </c>
      <c r="I2" s="81" t="s">
        <v>491</v>
      </c>
    </row>
    <row r="3" spans="1:11">
      <c r="A3" s="18" t="s">
        <v>985</v>
      </c>
      <c r="B3" s="396">
        <v>1850289</v>
      </c>
      <c r="C3" s="396">
        <v>9924463</v>
      </c>
      <c r="D3" s="396">
        <v>5436285</v>
      </c>
      <c r="E3" s="396">
        <v>15800631</v>
      </c>
      <c r="F3" s="396">
        <v>3500000</v>
      </c>
      <c r="G3" s="396">
        <v>892193</v>
      </c>
      <c r="H3" s="396">
        <v>1554530</v>
      </c>
      <c r="I3" s="18">
        <f t="shared" ref="I3:I12" si="0">SUM(B3:H3)</f>
        <v>38958391</v>
      </c>
    </row>
    <row r="4" spans="1:11">
      <c r="A4" s="396" t="s">
        <v>986</v>
      </c>
      <c r="B4" s="478">
        <v>2505492</v>
      </c>
      <c r="C4" s="18"/>
      <c r="D4" s="18"/>
      <c r="E4" s="18"/>
      <c r="F4" s="18"/>
      <c r="G4" s="18"/>
      <c r="H4" s="18"/>
      <c r="I4" s="18">
        <f t="shared" si="0"/>
        <v>2505492</v>
      </c>
    </row>
    <row r="5" spans="1:11">
      <c r="A5" s="276" t="s">
        <v>987</v>
      </c>
      <c r="B5" s="18"/>
      <c r="C5" s="18"/>
      <c r="D5" s="479"/>
      <c r="E5" s="479">
        <v>7076220</v>
      </c>
      <c r="F5" s="479">
        <v>148000</v>
      </c>
      <c r="G5" s="479"/>
      <c r="H5" s="479"/>
      <c r="I5" s="18">
        <f t="shared" si="0"/>
        <v>7224220</v>
      </c>
      <c r="J5">
        <f>I5</f>
        <v>7224220</v>
      </c>
    </row>
    <row r="6" spans="1:11">
      <c r="A6" s="276" t="s">
        <v>988</v>
      </c>
      <c r="B6" s="18"/>
      <c r="C6" s="480"/>
      <c r="D6" s="18"/>
      <c r="E6" s="18"/>
      <c r="F6" s="18"/>
      <c r="G6" s="18"/>
      <c r="H6" s="18"/>
      <c r="I6" s="18">
        <f t="shared" si="0"/>
        <v>0</v>
      </c>
      <c r="J6">
        <v>31992</v>
      </c>
    </row>
    <row r="7" spans="1:11">
      <c r="A7" s="276" t="s">
        <v>989</v>
      </c>
      <c r="B7" s="18">
        <v>17900</v>
      </c>
      <c r="C7" s="18">
        <v>355216</v>
      </c>
      <c r="D7" s="276"/>
      <c r="E7" s="276">
        <v>23000</v>
      </c>
      <c r="F7" s="276"/>
      <c r="G7" s="18"/>
      <c r="H7" s="276">
        <v>2404344</v>
      </c>
      <c r="I7" s="18">
        <f t="shared" si="0"/>
        <v>2800460</v>
      </c>
      <c r="J7">
        <v>27557494</v>
      </c>
    </row>
    <row r="8" spans="1:11">
      <c r="A8" s="276" t="s">
        <v>990</v>
      </c>
      <c r="B8" s="18"/>
      <c r="C8" s="18">
        <v>234626</v>
      </c>
      <c r="D8" s="276"/>
      <c r="E8" s="276"/>
      <c r="F8" s="276"/>
      <c r="G8" s="18"/>
      <c r="H8" s="276">
        <v>2370271</v>
      </c>
      <c r="I8" s="492">
        <f t="shared" si="0"/>
        <v>2604897</v>
      </c>
      <c r="J8">
        <f>SUM(J5:J7)</f>
        <v>34813706</v>
      </c>
    </row>
    <row r="9" spans="1:11">
      <c r="A9" s="276" t="s">
        <v>991</v>
      </c>
      <c r="B9" s="481">
        <v>587248</v>
      </c>
      <c r="C9" s="478"/>
      <c r="D9" s="478"/>
      <c r="E9" s="478"/>
      <c r="F9" s="478"/>
      <c r="G9" s="478"/>
      <c r="H9" s="478">
        <v>102130</v>
      </c>
      <c r="I9" s="18">
        <f t="shared" si="0"/>
        <v>689378</v>
      </c>
    </row>
    <row r="10" spans="1:11">
      <c r="A10" s="276" t="s">
        <v>992</v>
      </c>
      <c r="B10" s="478"/>
      <c r="C10" s="478"/>
      <c r="D10" s="482"/>
      <c r="E10" s="478"/>
      <c r="F10" s="478"/>
      <c r="G10" s="478"/>
      <c r="H10" s="478"/>
      <c r="I10" s="18">
        <f t="shared" si="0"/>
        <v>0</v>
      </c>
      <c r="K10">
        <f>I9</f>
        <v>689378</v>
      </c>
    </row>
    <row r="11" spans="1:11">
      <c r="A11" s="276" t="s">
        <v>993</v>
      </c>
      <c r="B11" s="479"/>
      <c r="C11" s="479"/>
      <c r="D11">
        <v>13113</v>
      </c>
      <c r="E11">
        <v>15377218</v>
      </c>
      <c r="F11">
        <v>191600</v>
      </c>
      <c r="H11">
        <v>10000</v>
      </c>
      <c r="I11" s="18">
        <f t="shared" si="0"/>
        <v>15591931</v>
      </c>
      <c r="K11">
        <f>I20</f>
        <v>329500</v>
      </c>
    </row>
    <row r="12" spans="1:11">
      <c r="A12" s="483" t="s">
        <v>495</v>
      </c>
      <c r="B12" s="484">
        <f>B3+B4+B5+B6-B7+B8-B9-B10-B11</f>
        <v>3750633</v>
      </c>
      <c r="C12" s="484">
        <f>C3+C4+C5+C6-C7+C8-C9-C10-C11</f>
        <v>9803873</v>
      </c>
      <c r="D12" s="484">
        <f t="shared" ref="D12:H12" si="1">D3+D4+D5+D6-D7+D8-D9-D10-D11</f>
        <v>5423172</v>
      </c>
      <c r="E12" s="484">
        <f t="shared" si="1"/>
        <v>7476633</v>
      </c>
      <c r="F12" s="484">
        <f t="shared" si="1"/>
        <v>3456400</v>
      </c>
      <c r="G12" s="484">
        <f t="shared" si="1"/>
        <v>892193</v>
      </c>
      <c r="H12" s="484">
        <f t="shared" si="1"/>
        <v>1408327</v>
      </c>
      <c r="I12" s="493">
        <f t="shared" si="0"/>
        <v>32211231</v>
      </c>
      <c r="K12">
        <f>SUM(K10:K11)</f>
        <v>1018878</v>
      </c>
    </row>
    <row r="13" spans="1:11">
      <c r="A13" s="483" t="s">
        <v>994</v>
      </c>
      <c r="B13" s="485" t="s">
        <v>995</v>
      </c>
      <c r="C13" s="485" t="s">
        <v>996</v>
      </c>
      <c r="D13" s="486" t="s">
        <v>997</v>
      </c>
      <c r="E13" s="485" t="s">
        <v>998</v>
      </c>
      <c r="F13" s="485" t="s">
        <v>999</v>
      </c>
      <c r="G13" s="487" t="s">
        <v>1000</v>
      </c>
      <c r="H13" s="479" t="s">
        <v>1001</v>
      </c>
      <c r="I13" s="494" t="s">
        <v>491</v>
      </c>
      <c r="K13">
        <v>6996756</v>
      </c>
    </row>
    <row r="14" spans="1:11">
      <c r="A14" s="18" t="s">
        <v>985</v>
      </c>
      <c r="B14" s="488">
        <v>8402815</v>
      </c>
      <c r="C14" s="488">
        <v>840986</v>
      </c>
      <c r="D14" s="488">
        <v>394078</v>
      </c>
      <c r="E14" s="488">
        <v>61061</v>
      </c>
      <c r="F14" s="488">
        <v>894910</v>
      </c>
      <c r="G14" s="488">
        <v>5661240</v>
      </c>
      <c r="H14" s="479">
        <v>1770348</v>
      </c>
      <c r="I14" s="18">
        <f>SUM(B14:H14)</f>
        <v>18025438</v>
      </c>
      <c r="K14">
        <f>SUM(K12:K13)</f>
        <v>8015634</v>
      </c>
    </row>
    <row r="15" spans="1:11">
      <c r="A15" s="396" t="s">
        <v>986</v>
      </c>
      <c r="B15" s="479"/>
      <c r="C15" s="479"/>
      <c r="D15" s="479"/>
      <c r="E15" s="479"/>
      <c r="F15" s="479">
        <v>414887</v>
      </c>
      <c r="G15" s="479"/>
      <c r="H15" s="479"/>
      <c r="I15" s="18">
        <f>SUM(B15:G15)</f>
        <v>414887</v>
      </c>
    </row>
    <row r="16" spans="1:11">
      <c r="A16" s="276" t="s">
        <v>987</v>
      </c>
      <c r="B16" s="479">
        <v>31992</v>
      </c>
      <c r="C16" s="479"/>
      <c r="D16" s="479"/>
      <c r="E16" s="479"/>
      <c r="F16" s="479"/>
      <c r="G16" s="479"/>
      <c r="H16" s="479"/>
      <c r="I16" s="18">
        <f>SUM(B16:G16)</f>
        <v>31992</v>
      </c>
    </row>
    <row r="17" spans="1:11">
      <c r="A17" s="276" t="s">
        <v>988</v>
      </c>
      <c r="B17" s="479"/>
      <c r="C17" s="479"/>
      <c r="D17" s="479">
        <v>82600</v>
      </c>
      <c r="E17" s="479">
        <v>9782</v>
      </c>
      <c r="F17" s="479"/>
      <c r="G17" s="479">
        <v>5325</v>
      </c>
      <c r="H17" s="479"/>
      <c r="I17" s="18">
        <f t="shared" ref="I17:I23" si="2">SUM(B17:H17)</f>
        <v>97707</v>
      </c>
    </row>
    <row r="18" spans="1:11">
      <c r="A18" s="276" t="s">
        <v>989</v>
      </c>
      <c r="B18" s="479">
        <v>485000</v>
      </c>
      <c r="C18" s="479">
        <v>35000</v>
      </c>
      <c r="D18" s="479">
        <v>198000</v>
      </c>
      <c r="E18" s="479"/>
      <c r="F18" s="479"/>
      <c r="G18" s="479"/>
      <c r="H18" s="479"/>
      <c r="I18" s="18">
        <f t="shared" si="2"/>
        <v>718000</v>
      </c>
    </row>
    <row r="19" spans="1:11">
      <c r="A19" s="276" t="s">
        <v>990</v>
      </c>
      <c r="B19" s="479">
        <v>597000</v>
      </c>
      <c r="C19" s="479">
        <v>70200</v>
      </c>
      <c r="D19" s="479">
        <v>18000</v>
      </c>
      <c r="E19" s="479"/>
      <c r="F19" s="479"/>
      <c r="G19" s="479"/>
      <c r="H19" s="479">
        <v>24000</v>
      </c>
      <c r="I19" s="492">
        <f t="shared" si="2"/>
        <v>709200</v>
      </c>
    </row>
    <row r="20" spans="1:11">
      <c r="A20" s="276" t="s">
        <v>991</v>
      </c>
      <c r="B20" s="479"/>
      <c r="C20" s="479"/>
      <c r="D20" s="479"/>
      <c r="E20" s="479"/>
      <c r="F20">
        <f>6000+214803+108697</f>
        <v>329500</v>
      </c>
      <c r="G20" s="479"/>
      <c r="H20" s="479"/>
      <c r="I20" s="18">
        <f t="shared" si="2"/>
        <v>329500</v>
      </c>
    </row>
    <row r="21" spans="1:11" ht="15">
      <c r="A21" s="276" t="s">
        <v>992</v>
      </c>
      <c r="B21" s="479"/>
      <c r="C21" s="479"/>
      <c r="D21" s="479">
        <v>82600</v>
      </c>
      <c r="E21" s="489">
        <v>9791</v>
      </c>
      <c r="F21" s="479"/>
      <c r="G21" s="479">
        <v>6453</v>
      </c>
      <c r="H21" s="479"/>
      <c r="I21" s="18">
        <f t="shared" si="2"/>
        <v>98844</v>
      </c>
    </row>
    <row r="22" spans="1:11" ht="15">
      <c r="A22" s="276" t="s">
        <v>993</v>
      </c>
      <c r="B22" s="479"/>
      <c r="C22" s="479"/>
      <c r="D22" s="479"/>
      <c r="E22" s="489">
        <v>4090</v>
      </c>
      <c r="F22" s="479"/>
      <c r="G22" s="479"/>
      <c r="H22" s="479"/>
      <c r="I22" s="18">
        <f t="shared" si="2"/>
        <v>4090</v>
      </c>
    </row>
    <row r="23" spans="1:11">
      <c r="A23" s="483" t="s">
        <v>495</v>
      </c>
      <c r="B23" s="490">
        <f>B14+B15+B16+B17-B18+B19-B20-B21-B22</f>
        <v>8546807</v>
      </c>
      <c r="C23" s="490">
        <f t="shared" ref="C23:H23" si="3">C14+C15+C16+C17-C18+C19-C20-C21-C22</f>
        <v>876186</v>
      </c>
      <c r="D23" s="490">
        <f t="shared" si="3"/>
        <v>214078</v>
      </c>
      <c r="E23" s="490">
        <f t="shared" si="3"/>
        <v>56962</v>
      </c>
      <c r="F23" s="490">
        <f t="shared" si="3"/>
        <v>980297</v>
      </c>
      <c r="G23" s="490">
        <f t="shared" si="3"/>
        <v>5660112</v>
      </c>
      <c r="H23" s="490">
        <f t="shared" si="3"/>
        <v>1794348</v>
      </c>
      <c r="I23" s="493">
        <f t="shared" si="2"/>
        <v>18128790</v>
      </c>
      <c r="J23" s="495"/>
    </row>
    <row r="24" spans="1:11">
      <c r="A24" s="380"/>
      <c r="B24" s="491"/>
      <c r="C24" s="491"/>
      <c r="D24" s="491"/>
      <c r="E24" s="491"/>
      <c r="F24" s="491"/>
      <c r="G24" s="491"/>
      <c r="H24" s="491"/>
      <c r="I24" s="491"/>
    </row>
    <row r="25" spans="1:11">
      <c r="A25" s="380"/>
      <c r="B25" s="491"/>
      <c r="C25" s="491"/>
      <c r="D25" s="491"/>
      <c r="E25" s="491"/>
      <c r="F25" s="491"/>
      <c r="G25" s="491"/>
      <c r="H25" s="491"/>
      <c r="I25" s="491"/>
    </row>
    <row r="26" spans="1:11">
      <c r="A26" s="380"/>
      <c r="B26" s="491"/>
      <c r="C26" s="491"/>
      <c r="D26" s="491"/>
      <c r="E26" s="491"/>
      <c r="F26" s="491"/>
      <c r="G26" s="491"/>
      <c r="H26" s="491"/>
      <c r="I26" s="491"/>
    </row>
    <row r="27" spans="1:11" ht="15">
      <c r="G27" s="1548" t="s">
        <v>1002</v>
      </c>
      <c r="H27" s="1548"/>
      <c r="I27" s="1548"/>
    </row>
    <row r="29" spans="1:11">
      <c r="K29">
        <f>I8+I19</f>
        <v>3314097</v>
      </c>
    </row>
    <row r="30" spans="1:11">
      <c r="K30" s="406">
        <f>'(6) sch4'!B17</f>
        <v>25937099</v>
      </c>
    </row>
    <row r="31" spans="1:11">
      <c r="E31" s="406"/>
      <c r="K31">
        <f>SUM(K29:K30)</f>
        <v>29251196</v>
      </c>
    </row>
  </sheetData>
  <mergeCells count="1">
    <mergeCell ref="G27:I27"/>
  </mergeCells>
  <pageMargins left="0.7" right="0.7" top="0.75" bottom="0.75" header="0.3" footer="0.3"/>
  <pageSetup scale="75" orientation="landscape" r:id="rId1"/>
  <colBreaks count="1" manualBreakCount="1">
    <brk id="9"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G21"/>
  <sheetViews>
    <sheetView view="pageBreakPreview" topLeftCell="A4" zoomScale="85" zoomScaleNormal="100" workbookViewId="0">
      <selection sqref="A1:G1"/>
    </sheetView>
  </sheetViews>
  <sheetFormatPr defaultColWidth="9.140625" defaultRowHeight="15"/>
  <cols>
    <col min="1" max="1" width="48.140625" style="22" customWidth="1"/>
    <col min="2" max="2" width="14.5703125" style="19" customWidth="1"/>
    <col min="3" max="3" width="12" style="19" customWidth="1"/>
    <col min="4" max="4" width="13.85546875" style="19" customWidth="1"/>
    <col min="5" max="5" width="13.7109375" style="19" customWidth="1"/>
    <col min="6" max="7" width="12.28515625" style="19" customWidth="1"/>
    <col min="8" max="16384" width="9.140625" style="19"/>
  </cols>
  <sheetData>
    <row r="1" spans="1:7">
      <c r="A1" s="1550" t="s">
        <v>1910</v>
      </c>
      <c r="B1" s="1550"/>
      <c r="C1" s="1550"/>
      <c r="D1" s="1550"/>
      <c r="E1" s="1550"/>
      <c r="F1" s="1550"/>
      <c r="G1" s="1550"/>
    </row>
    <row r="2" spans="1:7">
      <c r="A2" s="1550" t="s">
        <v>43</v>
      </c>
      <c r="B2" s="1550"/>
      <c r="C2" s="1550"/>
      <c r="D2" s="1550"/>
      <c r="E2" s="1550"/>
      <c r="F2" s="1550"/>
      <c r="G2" s="1550"/>
    </row>
    <row r="3" spans="1:7">
      <c r="A3" s="361"/>
      <c r="B3" s="361"/>
      <c r="C3" s="361"/>
      <c r="D3" s="361"/>
      <c r="E3" s="361"/>
      <c r="F3" s="1551" t="s">
        <v>3</v>
      </c>
      <c r="G3" s="1551"/>
    </row>
    <row r="4" spans="1:7">
      <c r="A4" s="361"/>
      <c r="D4" s="361"/>
      <c r="E4" s="361"/>
      <c r="F4" s="450"/>
      <c r="G4" s="450"/>
    </row>
    <row r="5" spans="1:7">
      <c r="A5" s="451" t="s">
        <v>1003</v>
      </c>
      <c r="B5" s="1552" t="s">
        <v>6</v>
      </c>
      <c r="C5" s="1553"/>
      <c r="D5" s="1554"/>
      <c r="E5" s="1552" t="s">
        <v>7</v>
      </c>
      <c r="F5" s="1553"/>
      <c r="G5" s="1554"/>
    </row>
    <row r="6" spans="1:7" s="22" customFormat="1">
      <c r="A6" s="452"/>
      <c r="B6" s="453" t="s">
        <v>586</v>
      </c>
      <c r="C6" s="453" t="s">
        <v>587</v>
      </c>
      <c r="D6" s="453" t="s">
        <v>12</v>
      </c>
      <c r="E6" s="453" t="s">
        <v>586</v>
      </c>
      <c r="F6" s="453" t="s">
        <v>587</v>
      </c>
      <c r="G6" s="453" t="s">
        <v>12</v>
      </c>
    </row>
    <row r="7" spans="1:7" ht="76.5" customHeight="1">
      <c r="A7" s="454" t="s">
        <v>1004</v>
      </c>
      <c r="B7" s="455" t="s">
        <v>1005</v>
      </c>
      <c r="C7" s="455"/>
      <c r="D7" s="456"/>
      <c r="E7" s="456"/>
      <c r="F7" s="456"/>
      <c r="G7" s="456"/>
    </row>
    <row r="8" spans="1:7" s="449" customFormat="1" ht="81" customHeight="1">
      <c r="A8" s="454" t="s">
        <v>1006</v>
      </c>
      <c r="B8" s="455" t="s">
        <v>1005</v>
      </c>
      <c r="C8" s="455"/>
      <c r="D8" s="456"/>
      <c r="E8" s="456"/>
      <c r="F8" s="456"/>
      <c r="G8" s="456"/>
    </row>
    <row r="9" spans="1:7" ht="60">
      <c r="A9" s="454" t="s">
        <v>1007</v>
      </c>
      <c r="B9" s="455" t="s">
        <v>1005</v>
      </c>
      <c r="C9" s="455"/>
      <c r="D9" s="456"/>
      <c r="E9" s="456"/>
      <c r="F9" s="456"/>
      <c r="G9" s="456"/>
    </row>
    <row r="10" spans="1:7" ht="60">
      <c r="A10" s="454" t="s">
        <v>1008</v>
      </c>
      <c r="B10" s="455" t="s">
        <v>1005</v>
      </c>
      <c r="C10" s="455"/>
      <c r="D10" s="456"/>
      <c r="E10" s="456"/>
      <c r="F10" s="456"/>
      <c r="G10" s="456"/>
    </row>
    <row r="11" spans="1:7" ht="66.75" customHeight="1">
      <c r="A11" s="454" t="s">
        <v>1009</v>
      </c>
      <c r="B11" s="455" t="s">
        <v>1005</v>
      </c>
      <c r="C11" s="455"/>
      <c r="D11" s="456"/>
      <c r="E11" s="456"/>
      <c r="F11" s="456"/>
      <c r="G11" s="456"/>
    </row>
    <row r="12" spans="1:7">
      <c r="A12" s="54" t="s">
        <v>12</v>
      </c>
      <c r="B12" s="457" t="s">
        <v>725</v>
      </c>
      <c r="C12" s="457"/>
      <c r="D12" s="458"/>
      <c r="E12" s="458"/>
      <c r="F12" s="458"/>
      <c r="G12" s="459"/>
    </row>
    <row r="13" spans="1:7">
      <c r="B13" s="460"/>
      <c r="C13" s="460"/>
      <c r="D13" s="460"/>
      <c r="E13" s="56"/>
      <c r="F13" s="56"/>
      <c r="G13" s="56"/>
    </row>
    <row r="14" spans="1:7" ht="15" customHeight="1">
      <c r="A14" s="461" t="s">
        <v>1010</v>
      </c>
      <c r="B14" s="453" t="s">
        <v>586</v>
      </c>
      <c r="C14" s="453"/>
      <c r="D14" s="460"/>
      <c r="E14" s="56"/>
      <c r="F14" s="56"/>
      <c r="G14" s="56"/>
    </row>
    <row r="15" spans="1:7" ht="15" customHeight="1">
      <c r="A15" s="461"/>
      <c r="B15" s="462" t="s">
        <v>1011</v>
      </c>
      <c r="C15" s="463" t="s">
        <v>1012</v>
      </c>
      <c r="D15" s="464"/>
    </row>
    <row r="16" spans="1:7">
      <c r="A16" s="465" t="s">
        <v>1013</v>
      </c>
      <c r="B16" s="466"/>
      <c r="C16" s="466"/>
      <c r="D16" s="464"/>
    </row>
    <row r="17" spans="1:7">
      <c r="A17" s="467" t="s">
        <v>1014</v>
      </c>
      <c r="B17" s="197"/>
      <c r="C17" s="197"/>
      <c r="D17" s="468">
        <f>SUM(D9:D16)</f>
        <v>0</v>
      </c>
      <c r="G17" s="469"/>
    </row>
    <row r="18" spans="1:7">
      <c r="A18" s="467" t="s">
        <v>1015</v>
      </c>
      <c r="B18" s="197"/>
      <c r="C18" s="197"/>
      <c r="D18" s="470"/>
    </row>
    <row r="19" spans="1:7">
      <c r="A19" s="471" t="s">
        <v>785</v>
      </c>
      <c r="B19" s="472"/>
      <c r="C19" s="463" t="s">
        <v>725</v>
      </c>
      <c r="D19" s="473"/>
    </row>
    <row r="20" spans="1:7" ht="90.75" customHeight="1">
      <c r="A20" s="1549" t="s">
        <v>1016</v>
      </c>
      <c r="B20" s="1549"/>
      <c r="C20" s="1549"/>
      <c r="D20" s="474"/>
      <c r="E20" s="474"/>
      <c r="F20" s="474"/>
      <c r="G20" s="474"/>
    </row>
    <row r="21" spans="1:7" ht="12" customHeight="1">
      <c r="A21" s="1548" t="s">
        <v>20</v>
      </c>
      <c r="B21" s="1548"/>
      <c r="C21" s="1548"/>
      <c r="D21" s="1548"/>
      <c r="E21" s="1548"/>
      <c r="F21" s="1548"/>
      <c r="G21" s="1548"/>
    </row>
  </sheetData>
  <customSheetViews>
    <customSheetView guid="{B1076A3F-74CA-4685-9B64-0249438E4A9A}" scale="85" showPageBreaks="1" view="pageBreakPreview">
      <selection activeCell="I12" sqref="A1:I12"/>
      <pageMargins left="0.7" right="0.7" top="0.75" bottom="0.75" header="0.3" footer="0.3"/>
      <printOptions horizontalCentered="1"/>
      <pageSetup paperSize="9" scale="80" orientation="landscape"/>
    </customSheetView>
    <customSheetView guid="{789595AE-36A2-4B02-81C2-3D94932E7381}" scale="85" showPageBreaks="1" view="pageBreakPreview">
      <selection activeCell="B23" sqref="B23:D23"/>
      <pageMargins left="0.7" right="0.7" top="0.75" bottom="0.75" header="0.3" footer="0.3"/>
      <printOptions horizontalCentered="1"/>
      <pageSetup paperSize="9" scale="80" orientation="landscape"/>
    </customSheetView>
  </customSheetViews>
  <mergeCells count="7">
    <mergeCell ref="A20:C20"/>
    <mergeCell ref="A21:G21"/>
    <mergeCell ref="A1:G1"/>
    <mergeCell ref="A2:G2"/>
    <mergeCell ref="F3:G3"/>
    <mergeCell ref="B5:D5"/>
    <mergeCell ref="E5:G5"/>
  </mergeCells>
  <printOptions horizontalCentered="1" verticalCentered="1"/>
  <pageMargins left="0" right="0" top="0" bottom="0" header="0.35433070866141703" footer="0.31496062992126"/>
  <pageSetup paperSize="9" scale="8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0"/>
  <sheetViews>
    <sheetView view="pageBreakPreview" topLeftCell="A4" zoomScaleNormal="100" workbookViewId="0">
      <selection activeCell="H8" sqref="H8"/>
    </sheetView>
  </sheetViews>
  <sheetFormatPr defaultColWidth="9" defaultRowHeight="12.75"/>
  <cols>
    <col min="1" max="1" width="65" style="380" customWidth="1"/>
    <col min="2" max="2" width="18.42578125" customWidth="1"/>
    <col min="3" max="3" width="18.5703125" customWidth="1"/>
    <col min="4" max="4" width="17.7109375" customWidth="1"/>
    <col min="5" max="5" width="20.5703125" customWidth="1"/>
    <col min="6" max="6" width="12.5703125" customWidth="1"/>
    <col min="7" max="11" width="9.140625"/>
  </cols>
  <sheetData>
    <row r="1" spans="1:11" ht="15.75">
      <c r="A1" s="1322" t="s">
        <v>1910</v>
      </c>
      <c r="B1" s="1323"/>
      <c r="C1" s="1323"/>
      <c r="D1" s="1323"/>
    </row>
    <row r="2" spans="1:11" ht="15.75">
      <c r="A2" s="1322" t="s">
        <v>43</v>
      </c>
      <c r="B2" s="1322"/>
      <c r="C2" s="1322"/>
      <c r="D2" s="1322"/>
      <c r="E2" s="1322"/>
    </row>
    <row r="3" spans="1:11" s="1020" customFormat="1" ht="15.75">
      <c r="A3" s="1322"/>
      <c r="B3" s="1322"/>
      <c r="C3" s="1322"/>
      <c r="D3" s="1322"/>
      <c r="E3" s="1322"/>
      <c r="F3"/>
      <c r="G3"/>
      <c r="H3"/>
      <c r="I3"/>
      <c r="J3"/>
      <c r="K3"/>
    </row>
    <row r="4" spans="1:11" s="402" customFormat="1">
      <c r="A4" s="356"/>
      <c r="B4" s="570"/>
      <c r="C4" s="570"/>
      <c r="D4" s="570"/>
      <c r="E4" s="587" t="s">
        <v>68</v>
      </c>
    </row>
    <row r="5" spans="1:11" s="380" customFormat="1" ht="15.95" customHeight="1">
      <c r="A5" s="1356" t="s">
        <v>69</v>
      </c>
      <c r="B5" s="1355" t="s">
        <v>70</v>
      </c>
      <c r="C5" s="1355"/>
      <c r="D5" s="1361" t="s">
        <v>71</v>
      </c>
      <c r="E5" s="1363" t="s">
        <v>7</v>
      </c>
    </row>
    <row r="6" spans="1:11" s="380" customFormat="1" ht="15.95" customHeight="1">
      <c r="A6" s="1357"/>
      <c r="B6" s="1359" t="s">
        <v>72</v>
      </c>
      <c r="C6" s="1359" t="s">
        <v>73</v>
      </c>
      <c r="D6" s="1362"/>
      <c r="E6" s="1364"/>
    </row>
    <row r="7" spans="1:11" s="380" customFormat="1" ht="30" customHeight="1">
      <c r="A7" s="1358"/>
      <c r="B7" s="1360"/>
      <c r="C7" s="1360"/>
      <c r="D7" s="1360"/>
      <c r="E7" s="1365"/>
    </row>
    <row r="8" spans="1:11" s="402" customFormat="1" ht="15.95" customHeight="1">
      <c r="A8" s="393" t="s">
        <v>74</v>
      </c>
      <c r="B8" s="394">
        <v>1249132</v>
      </c>
      <c r="C8" s="394">
        <v>2580261</v>
      </c>
      <c r="D8" s="394">
        <f>C8+B8</f>
        <v>3829393</v>
      </c>
      <c r="E8" s="429">
        <v>3186755</v>
      </c>
    </row>
    <row r="9" spans="1:11" s="402" customFormat="1" ht="15.95" customHeight="1">
      <c r="A9" s="393" t="s">
        <v>75</v>
      </c>
      <c r="B9" s="394"/>
      <c r="C9" s="394"/>
      <c r="D9" s="394"/>
      <c r="E9" s="429">
        <v>0</v>
      </c>
    </row>
    <row r="10" spans="1:11" s="402" customFormat="1" ht="15.95" customHeight="1">
      <c r="A10" s="1021" t="s">
        <v>76</v>
      </c>
      <c r="B10" s="394">
        <v>0</v>
      </c>
      <c r="C10" s="394">
        <v>96110</v>
      </c>
      <c r="D10" s="394">
        <f>C10+B10</f>
        <v>96110</v>
      </c>
      <c r="E10" s="429">
        <v>178545</v>
      </c>
      <c r="G10" s="799"/>
    </row>
    <row r="11" spans="1:11" s="402" customFormat="1" ht="15.95" customHeight="1">
      <c r="A11" s="393" t="s">
        <v>77</v>
      </c>
      <c r="B11" s="394">
        <v>169840</v>
      </c>
      <c r="C11" s="394">
        <v>0</v>
      </c>
      <c r="D11" s="394">
        <f>C11+B11</f>
        <v>169840</v>
      </c>
      <c r="E11" s="429">
        <v>730365</v>
      </c>
    </row>
    <row r="12" spans="1:11" s="402" customFormat="1" ht="15.95" customHeight="1">
      <c r="A12" s="863" t="s">
        <v>78</v>
      </c>
      <c r="B12" s="342">
        <f>SUM(B8:B11)</f>
        <v>1418972</v>
      </c>
      <c r="C12" s="342">
        <f>SUM(C8:C11)</f>
        <v>2676371</v>
      </c>
      <c r="D12" s="342">
        <f>+B12+C12</f>
        <v>4095343</v>
      </c>
      <c r="E12" s="429">
        <f>SUM(E8:E11)</f>
        <v>4095665</v>
      </c>
    </row>
    <row r="13" spans="1:11" s="402" customFormat="1" ht="15.95" customHeight="1">
      <c r="A13" s="393" t="s">
        <v>79</v>
      </c>
      <c r="B13" s="394"/>
      <c r="C13" s="342"/>
      <c r="D13" s="342"/>
      <c r="E13" s="429"/>
    </row>
    <row r="14" spans="1:11" s="402" customFormat="1" ht="15.95" customHeight="1">
      <c r="A14" s="393" t="s">
        <v>80</v>
      </c>
      <c r="B14" s="570"/>
      <c r="C14" s="342"/>
      <c r="D14" s="342"/>
      <c r="E14" s="429"/>
    </row>
    <row r="15" spans="1:11" s="402" customFormat="1" ht="15.95" customHeight="1">
      <c r="A15" s="393" t="s">
        <v>81</v>
      </c>
      <c r="B15" s="394">
        <v>159235</v>
      </c>
      <c r="C15" s="394">
        <v>85000</v>
      </c>
      <c r="D15" s="394">
        <f>C15+B15</f>
        <v>244235</v>
      </c>
      <c r="E15" s="429">
        <v>266272</v>
      </c>
    </row>
    <row r="16" spans="1:11" s="402" customFormat="1" ht="15.95" customHeight="1">
      <c r="A16" s="393" t="s">
        <v>82</v>
      </c>
      <c r="B16" s="394">
        <v>0</v>
      </c>
      <c r="C16" s="394">
        <v>0</v>
      </c>
      <c r="D16" s="394">
        <f t="shared" ref="D16:D21" si="0">C16+B16</f>
        <v>0</v>
      </c>
      <c r="E16" s="429">
        <v>0</v>
      </c>
    </row>
    <row r="17" spans="1:7" s="402" customFormat="1" ht="15.95" customHeight="1">
      <c r="A17" s="393" t="s">
        <v>83</v>
      </c>
      <c r="B17" s="394">
        <v>0</v>
      </c>
      <c r="C17" s="394">
        <v>0</v>
      </c>
      <c r="D17" s="394">
        <f>SUM(D9:D16)</f>
        <v>4605528</v>
      </c>
      <c r="E17" s="429">
        <v>0</v>
      </c>
    </row>
    <row r="18" spans="1:7" s="402" customFormat="1" ht="15.95" customHeight="1">
      <c r="A18" s="393" t="s">
        <v>84</v>
      </c>
      <c r="B18" s="394">
        <v>0</v>
      </c>
      <c r="C18" s="394">
        <v>0</v>
      </c>
      <c r="D18" s="394">
        <f t="shared" si="0"/>
        <v>0</v>
      </c>
      <c r="E18" s="429">
        <v>0</v>
      </c>
    </row>
    <row r="19" spans="1:7" s="402" customFormat="1" ht="15.95" customHeight="1">
      <c r="A19" s="393" t="s">
        <v>85</v>
      </c>
      <c r="B19" s="394">
        <v>0</v>
      </c>
      <c r="C19" s="394">
        <v>0</v>
      </c>
      <c r="D19" s="394">
        <f t="shared" si="0"/>
        <v>0</v>
      </c>
      <c r="E19" s="429">
        <v>0</v>
      </c>
    </row>
    <row r="20" spans="1:7" s="402" customFormat="1" ht="15.95" customHeight="1">
      <c r="A20" s="393" t="s">
        <v>86</v>
      </c>
      <c r="B20" s="394">
        <v>0</v>
      </c>
      <c r="C20" s="394">
        <v>0</v>
      </c>
      <c r="D20" s="394">
        <f t="shared" si="0"/>
        <v>0</v>
      </c>
      <c r="E20" s="429">
        <v>0</v>
      </c>
    </row>
    <row r="21" spans="1:7" s="402" customFormat="1" ht="15.95" customHeight="1">
      <c r="A21" s="393" t="s">
        <v>87</v>
      </c>
      <c r="B21" s="394">
        <v>0</v>
      </c>
      <c r="C21" s="394">
        <v>0</v>
      </c>
      <c r="D21" s="394">
        <f t="shared" si="0"/>
        <v>0</v>
      </c>
      <c r="E21" s="429">
        <v>0</v>
      </c>
    </row>
    <row r="22" spans="1:7" s="380" customFormat="1" ht="15.95" customHeight="1">
      <c r="A22" s="863" t="s">
        <v>88</v>
      </c>
      <c r="B22" s="342">
        <f>SUM(B15:B21)</f>
        <v>159235</v>
      </c>
      <c r="C22" s="342">
        <f>SUM(C15:C21)</f>
        <v>85000</v>
      </c>
      <c r="D22" s="342">
        <f>+B22+C22</f>
        <v>244235</v>
      </c>
      <c r="E22" s="429">
        <f>SUM(E15:E21)</f>
        <v>266272</v>
      </c>
    </row>
    <row r="23" spans="1:7" s="380" customFormat="1" ht="15.95" customHeight="1">
      <c r="A23" s="595" t="s">
        <v>89</v>
      </c>
      <c r="B23" s="417">
        <f>+B12-B22</f>
        <v>1259737</v>
      </c>
      <c r="C23" s="417">
        <f>+C12-C22</f>
        <v>2591371</v>
      </c>
      <c r="D23" s="417">
        <f>+D12-D22</f>
        <v>3851108</v>
      </c>
      <c r="E23" s="430">
        <f>E12-E22</f>
        <v>3829393</v>
      </c>
      <c r="F23" s="405"/>
      <c r="G23" s="405"/>
    </row>
    <row r="24" spans="1:7" s="380" customFormat="1" ht="15.95" customHeight="1">
      <c r="A24" s="356" t="s">
        <v>1874</v>
      </c>
      <c r="B24" s="354"/>
      <c r="C24" s="354"/>
      <c r="D24" s="354"/>
      <c r="E24" s="1022"/>
      <c r="F24" s="405"/>
    </row>
    <row r="25" spans="1:7" s="380" customFormat="1" ht="20.25">
      <c r="A25" s="356" t="s">
        <v>90</v>
      </c>
      <c r="B25" s="354"/>
      <c r="C25" s="354"/>
      <c r="D25" s="354"/>
      <c r="E25" s="1023"/>
    </row>
    <row r="26" spans="1:7" s="380" customFormat="1">
      <c r="A26" s="356"/>
      <c r="B26" s="354"/>
      <c r="C26" s="354"/>
      <c r="D26" s="354"/>
      <c r="E26" s="1023"/>
    </row>
    <row r="27" spans="1:7">
      <c r="A27" s="356"/>
      <c r="B27" s="324"/>
      <c r="C27" s="354"/>
      <c r="D27" s="324"/>
      <c r="E27" s="324"/>
    </row>
    <row r="28" spans="1:7">
      <c r="A28" s="1333" t="s">
        <v>20</v>
      </c>
      <c r="B28" s="1333"/>
      <c r="C28" s="1333"/>
      <c r="D28" s="1333"/>
      <c r="E28" s="1333"/>
      <c r="F28" s="354"/>
      <c r="G28" s="354"/>
    </row>
    <row r="29" spans="1:7">
      <c r="A29" s="356"/>
      <c r="B29" s="345"/>
      <c r="C29" s="324"/>
      <c r="D29" s="324"/>
      <c r="E29" s="324"/>
    </row>
    <row r="30" spans="1:7">
      <c r="C30" t="s">
        <v>91</v>
      </c>
    </row>
  </sheetData>
  <customSheetViews>
    <customSheetView guid="{B1076A3F-74CA-4685-9B64-0249438E4A9A}" showPageBreaks="1" printArea="1" view="pageBreakPreview" topLeftCell="A16">
      <selection activeCell="E28" sqref="E28"/>
      <pageMargins left="0" right="0" top="0" bottom="0" header="0.511811023622047" footer="0.511811023622047"/>
      <printOptions horizontalCentered="1" verticalCentered="1"/>
      <pageSetup paperSize="9" scale="93" orientation="landscape"/>
      <headerFooter alignWithMargins="0">
        <oddFooter>&amp;C4</oddFooter>
      </headerFooter>
    </customSheetView>
    <customSheetView guid="{789595AE-36A2-4B02-81C2-3D94932E7381}" showPageBreaks="1" printArea="1" view="pageBreakPreview" topLeftCell="A16">
      <selection activeCell="E28" sqref="E28"/>
      <pageMargins left="0" right="0" top="0" bottom="0" header="0.511811023622047" footer="0.511811023622047"/>
      <printOptions horizontalCentered="1" verticalCentered="1"/>
      <pageSetup paperSize="9" scale="93" orientation="landscape"/>
      <headerFooter alignWithMargins="0">
        <oddFooter>&amp;C4</oddFooter>
      </headerFooter>
    </customSheetView>
  </customSheetViews>
  <mergeCells count="10">
    <mergeCell ref="A1:D1"/>
    <mergeCell ref="A2:E2"/>
    <mergeCell ref="A3:E3"/>
    <mergeCell ref="B5:C5"/>
    <mergeCell ref="A28:E28"/>
    <mergeCell ref="A5:A7"/>
    <mergeCell ref="B6:B7"/>
    <mergeCell ref="C6:C7"/>
    <mergeCell ref="D5:D7"/>
    <mergeCell ref="E5:E7"/>
  </mergeCells>
  <printOptions horizontalCentered="1" verticalCentered="1"/>
  <pageMargins left="0" right="0" top="0" bottom="0" header="0.35433070866141703" footer="0.31496062992126"/>
  <pageSetup paperSize="9" scale="99"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33"/>
  <sheetViews>
    <sheetView view="pageBreakPreview" topLeftCell="A4" zoomScale="85" zoomScaleNormal="90" workbookViewId="0">
      <selection activeCell="D32" sqref="D32"/>
    </sheetView>
  </sheetViews>
  <sheetFormatPr defaultColWidth="9.140625" defaultRowHeight="15"/>
  <cols>
    <col min="1" max="1" width="9.140625" style="19"/>
    <col min="2" max="2" width="37.42578125" style="19" customWidth="1"/>
    <col min="3" max="3" width="19.85546875" style="19" customWidth="1"/>
    <col min="4" max="4" width="17.5703125" style="19" customWidth="1"/>
    <col min="5" max="5" width="16.140625" style="19" customWidth="1"/>
    <col min="6" max="6" width="16.28515625" style="19" customWidth="1"/>
    <col min="7" max="7" width="16" style="19" customWidth="1"/>
    <col min="8" max="8" width="15.85546875" style="19" customWidth="1"/>
    <col min="9" max="9" width="15.42578125" style="19" customWidth="1"/>
    <col min="10" max="10" width="17" style="19" customWidth="1"/>
    <col min="11" max="16384" width="9.140625" style="19"/>
  </cols>
  <sheetData>
    <row r="1" spans="1:8" ht="19.5">
      <c r="A1" s="1564" t="s">
        <v>1017</v>
      </c>
      <c r="B1" s="1564"/>
      <c r="C1" s="1564"/>
      <c r="D1" s="1564"/>
      <c r="E1" s="1564"/>
      <c r="F1" s="1564"/>
      <c r="G1" s="1564"/>
      <c r="H1" s="1564"/>
    </row>
    <row r="2" spans="1:8" ht="19.5">
      <c r="A2" s="1378" t="s">
        <v>1910</v>
      </c>
      <c r="B2" s="1378"/>
      <c r="C2" s="1378"/>
      <c r="D2" s="1378"/>
      <c r="E2" s="1378"/>
      <c r="F2" s="1378"/>
      <c r="G2" s="1378"/>
      <c r="H2" s="1378"/>
    </row>
    <row r="3" spans="1:8" ht="19.5">
      <c r="A3" s="1378" t="s">
        <v>43</v>
      </c>
      <c r="B3" s="1378"/>
      <c r="C3" s="1378"/>
      <c r="D3" s="1378"/>
      <c r="E3" s="1378"/>
      <c r="F3" s="1378"/>
      <c r="G3" s="1378"/>
      <c r="H3" s="1378"/>
    </row>
    <row r="4" spans="1:8" ht="19.5">
      <c r="A4" s="432"/>
      <c r="B4" s="432"/>
      <c r="C4" s="432"/>
      <c r="D4" s="432"/>
      <c r="E4" s="432"/>
      <c r="F4" s="432"/>
      <c r="G4" s="432"/>
      <c r="H4" s="432"/>
    </row>
    <row r="5" spans="1:8" ht="21" customHeight="1">
      <c r="A5" s="1565" t="s">
        <v>1018</v>
      </c>
      <c r="B5" s="1566"/>
      <c r="C5" s="1566"/>
      <c r="D5" s="1566"/>
      <c r="E5" s="1566"/>
      <c r="F5" s="1566"/>
      <c r="G5" s="1566"/>
      <c r="H5" s="1566"/>
    </row>
    <row r="6" spans="1:8" ht="21" customHeight="1">
      <c r="A6" s="1567" t="s">
        <v>1019</v>
      </c>
      <c r="B6" s="1567"/>
      <c r="C6" s="1567"/>
      <c r="D6" s="1567"/>
      <c r="E6" s="1567"/>
      <c r="F6" s="1567"/>
      <c r="G6" s="1567"/>
      <c r="H6" s="1567"/>
    </row>
    <row r="7" spans="1:8" ht="19.5">
      <c r="A7" s="432"/>
      <c r="B7" s="432"/>
      <c r="C7" s="432"/>
      <c r="D7" s="432"/>
      <c r="E7" s="432"/>
      <c r="F7" s="432"/>
      <c r="G7" s="432"/>
      <c r="H7" s="432"/>
    </row>
    <row r="8" spans="1:8" ht="18.75" customHeight="1">
      <c r="A8" s="434" t="s">
        <v>1020</v>
      </c>
      <c r="B8" s="434"/>
      <c r="C8" s="434"/>
      <c r="D8" s="434"/>
      <c r="E8" s="434"/>
      <c r="F8" s="434"/>
      <c r="G8" s="434"/>
      <c r="H8" s="434"/>
    </row>
    <row r="9" spans="1:8" ht="21.75" customHeight="1">
      <c r="A9" s="1101" t="s">
        <v>1021</v>
      </c>
      <c r="B9" s="432"/>
      <c r="C9" s="433"/>
      <c r="D9" s="433"/>
      <c r="E9" s="433"/>
      <c r="F9" s="433"/>
      <c r="G9" s="433"/>
      <c r="H9" s="433"/>
    </row>
    <row r="10" spans="1:8" ht="22.5" customHeight="1">
      <c r="A10" s="435"/>
      <c r="B10" s="432"/>
      <c r="C10" s="433"/>
      <c r="D10" s="433"/>
      <c r="E10" s="433"/>
      <c r="F10" s="433"/>
      <c r="G10" s="1556" t="s">
        <v>3</v>
      </c>
      <c r="H10" s="1557"/>
    </row>
    <row r="11" spans="1:8" s="431" customFormat="1" ht="93" customHeight="1">
      <c r="A11" s="436" t="s">
        <v>581</v>
      </c>
      <c r="B11" s="437" t="s">
        <v>1022</v>
      </c>
      <c r="C11" s="437" t="s">
        <v>1023</v>
      </c>
      <c r="D11" s="438" t="s">
        <v>1024</v>
      </c>
      <c r="E11" s="438" t="s">
        <v>1025</v>
      </c>
      <c r="F11" s="438" t="s">
        <v>1026</v>
      </c>
      <c r="G11" s="438" t="s">
        <v>1027</v>
      </c>
      <c r="H11" s="439" t="s">
        <v>1028</v>
      </c>
    </row>
    <row r="12" spans="1:8" s="431" customFormat="1" ht="18" customHeight="1">
      <c r="A12" s="1558" t="s">
        <v>1029</v>
      </c>
      <c r="B12" s="1367"/>
      <c r="C12" s="1367"/>
      <c r="D12" s="1367"/>
      <c r="E12" s="1367"/>
      <c r="F12" s="1367"/>
      <c r="G12" s="1367"/>
      <c r="H12" s="1559"/>
    </row>
    <row r="13" spans="1:8" ht="19.5">
      <c r="A13" s="440">
        <v>1</v>
      </c>
      <c r="B13" s="441"/>
      <c r="C13" s="441"/>
      <c r="D13" s="442"/>
      <c r="E13" s="442"/>
      <c r="F13" s="442"/>
      <c r="G13" s="442"/>
      <c r="H13" s="443"/>
    </row>
    <row r="14" spans="1:8" ht="19.5">
      <c r="A14" s="440">
        <v>2</v>
      </c>
      <c r="B14" s="441"/>
      <c r="C14" s="441"/>
      <c r="D14" s="442"/>
      <c r="E14" s="442"/>
      <c r="F14" s="442"/>
      <c r="G14" s="442"/>
      <c r="H14" s="443"/>
    </row>
    <row r="15" spans="1:8" ht="19.5">
      <c r="A15" s="440">
        <v>3</v>
      </c>
      <c r="B15" s="441" t="s">
        <v>838</v>
      </c>
      <c r="C15" s="441"/>
      <c r="D15" s="442"/>
      <c r="E15" s="442"/>
      <c r="F15" s="442"/>
      <c r="G15" s="442"/>
      <c r="H15" s="443"/>
    </row>
    <row r="16" spans="1:8" ht="19.5">
      <c r="A16" s="440">
        <v>4</v>
      </c>
      <c r="B16" s="441"/>
      <c r="C16" s="441"/>
      <c r="D16" s="442"/>
      <c r="E16" s="442"/>
      <c r="F16" s="442"/>
      <c r="G16" s="442"/>
      <c r="H16" s="443"/>
    </row>
    <row r="17" spans="1:8" ht="19.5">
      <c r="A17" s="440">
        <v>5</v>
      </c>
      <c r="B17" s="441"/>
      <c r="C17" s="441"/>
      <c r="D17" s="442">
        <f>SUM(D9:D16)</f>
        <v>0</v>
      </c>
      <c r="E17" s="442"/>
      <c r="F17" s="442"/>
      <c r="G17" s="442"/>
      <c r="H17" s="443"/>
    </row>
    <row r="18" spans="1:8" ht="19.5">
      <c r="A18" s="440">
        <v>6</v>
      </c>
      <c r="B18" s="441"/>
      <c r="C18" s="441"/>
      <c r="D18" s="442"/>
      <c r="E18" s="442"/>
      <c r="F18" s="442"/>
      <c r="G18" s="442"/>
      <c r="H18" s="443"/>
    </row>
    <row r="19" spans="1:8" ht="15" customHeight="1">
      <c r="A19" s="1560" t="s">
        <v>1030</v>
      </c>
      <c r="B19" s="1561"/>
      <c r="C19" s="1561"/>
      <c r="D19" s="1561"/>
      <c r="E19" s="1561"/>
      <c r="F19" s="1561"/>
      <c r="G19" s="1561"/>
      <c r="H19" s="1562"/>
    </row>
    <row r="20" spans="1:8" ht="19.5">
      <c r="A20" s="440">
        <v>7</v>
      </c>
      <c r="B20" s="441"/>
      <c r="C20" s="441"/>
      <c r="D20" s="442"/>
      <c r="E20" s="442"/>
      <c r="F20" s="442"/>
      <c r="G20" s="442"/>
      <c r="H20" s="443"/>
    </row>
    <row r="21" spans="1:8" ht="19.5">
      <c r="A21" s="440">
        <v>8</v>
      </c>
      <c r="B21" s="441"/>
      <c r="C21" s="441"/>
      <c r="D21" s="442"/>
      <c r="E21" s="442"/>
      <c r="F21" s="442"/>
      <c r="G21" s="442"/>
      <c r="H21" s="443"/>
    </row>
    <row r="22" spans="1:8" ht="19.5">
      <c r="A22" s="440">
        <v>9</v>
      </c>
      <c r="B22" s="441"/>
      <c r="C22" s="441"/>
      <c r="D22" s="442"/>
      <c r="E22" s="442"/>
      <c r="F22" s="442"/>
      <c r="G22" s="442"/>
      <c r="H22" s="443"/>
    </row>
    <row r="23" spans="1:8" ht="19.5">
      <c r="A23" s="440">
        <v>10</v>
      </c>
      <c r="B23" s="441"/>
      <c r="C23" s="441"/>
      <c r="D23" s="442"/>
      <c r="E23" s="442"/>
      <c r="F23" s="442"/>
      <c r="G23" s="442"/>
      <c r="H23" s="443"/>
    </row>
    <row r="24" spans="1:8" ht="15" customHeight="1">
      <c r="A24" s="1560" t="s">
        <v>1031</v>
      </c>
      <c r="B24" s="1561"/>
      <c r="C24" s="1561"/>
      <c r="D24" s="1561"/>
      <c r="E24" s="1561"/>
      <c r="F24" s="1561"/>
      <c r="G24" s="1561"/>
      <c r="H24" s="1562"/>
    </row>
    <row r="25" spans="1:8" ht="19.5">
      <c r="A25" s="440">
        <v>11</v>
      </c>
      <c r="B25" s="441"/>
      <c r="C25" s="441"/>
      <c r="D25" s="442"/>
      <c r="E25" s="442"/>
      <c r="F25" s="442"/>
      <c r="G25" s="442"/>
      <c r="H25" s="443"/>
    </row>
    <row r="26" spans="1:8" ht="19.5">
      <c r="A26" s="440">
        <v>12</v>
      </c>
      <c r="B26" s="441"/>
      <c r="C26" s="441"/>
      <c r="D26" s="442"/>
      <c r="E26" s="442"/>
      <c r="F26" s="442"/>
      <c r="G26" s="442"/>
      <c r="H26" s="443"/>
    </row>
    <row r="27" spans="1:8" ht="19.5">
      <c r="A27" s="440">
        <v>13</v>
      </c>
      <c r="B27" s="441"/>
      <c r="C27" s="441"/>
      <c r="D27" s="442"/>
      <c r="E27" s="442"/>
      <c r="F27" s="442"/>
      <c r="G27" s="442"/>
      <c r="H27" s="443"/>
    </row>
    <row r="28" spans="1:8" ht="19.5">
      <c r="A28" s="440">
        <v>14</v>
      </c>
      <c r="B28" s="441"/>
      <c r="C28" s="441"/>
      <c r="D28" s="442"/>
      <c r="E28" s="442"/>
      <c r="F28" s="442"/>
      <c r="G28" s="442"/>
      <c r="H28" s="443"/>
    </row>
    <row r="29" spans="1:8" ht="19.5">
      <c r="A29" s="440">
        <v>15</v>
      </c>
      <c r="B29" s="441"/>
      <c r="C29" s="441"/>
      <c r="D29" s="442"/>
      <c r="E29" s="442"/>
      <c r="F29" s="442"/>
      <c r="G29" s="442"/>
      <c r="H29" s="443"/>
    </row>
    <row r="30" spans="1:8" ht="19.5">
      <c r="A30" s="444"/>
      <c r="B30" s="445" t="s">
        <v>491</v>
      </c>
      <c r="C30" s="446"/>
      <c r="D30" s="447"/>
      <c r="E30" s="447"/>
      <c r="F30" s="447"/>
      <c r="G30" s="447"/>
      <c r="H30" s="448"/>
    </row>
    <row r="31" spans="1:8" ht="42.75" customHeight="1">
      <c r="A31" s="1563" t="s">
        <v>1032</v>
      </c>
      <c r="B31" s="1563"/>
      <c r="C31" s="1563"/>
      <c r="D31" s="1563"/>
      <c r="E31" s="1563"/>
      <c r="F31" s="1563"/>
      <c r="G31" s="1563"/>
      <c r="H31" s="1563"/>
    </row>
    <row r="32" spans="1:8" ht="19.5">
      <c r="A32" s="432"/>
      <c r="B32" s="432"/>
      <c r="C32" s="432"/>
      <c r="D32" s="432"/>
      <c r="E32" s="432"/>
      <c r="F32" s="432"/>
      <c r="G32" s="432"/>
      <c r="H32" s="432"/>
    </row>
    <row r="33" spans="1:8" ht="19.5">
      <c r="A33" s="432"/>
      <c r="B33" s="432"/>
      <c r="C33" s="1555" t="s">
        <v>20</v>
      </c>
      <c r="D33" s="1555"/>
      <c r="E33" s="1555"/>
      <c r="F33" s="1555"/>
      <c r="G33" s="1555"/>
      <c r="H33" s="1555"/>
    </row>
  </sheetData>
  <mergeCells count="11">
    <mergeCell ref="A1:H1"/>
    <mergeCell ref="A2:H2"/>
    <mergeCell ref="A3:H3"/>
    <mergeCell ref="A5:H5"/>
    <mergeCell ref="A6:H6"/>
    <mergeCell ref="C33:H33"/>
    <mergeCell ref="G10:H10"/>
    <mergeCell ref="A12:H12"/>
    <mergeCell ref="A19:H19"/>
    <mergeCell ref="A24:H24"/>
    <mergeCell ref="A31:H31"/>
  </mergeCells>
  <printOptions horizontalCentered="1" verticalCentered="1"/>
  <pageMargins left="0" right="0" top="0" bottom="0" header="0.35433070866141703" footer="0.31496062992126"/>
  <pageSetup paperSize="9" scale="7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L29"/>
  <sheetViews>
    <sheetView view="pageBreakPreview" topLeftCell="A10" zoomScale="90" zoomScaleNormal="100" workbookViewId="0">
      <selection activeCell="I23" sqref="I23"/>
    </sheetView>
  </sheetViews>
  <sheetFormatPr defaultColWidth="9.140625" defaultRowHeight="12.75"/>
  <cols>
    <col min="1" max="1" width="42.140625" style="405" customWidth="1"/>
    <col min="2" max="3" width="14.7109375" style="406" customWidth="1"/>
    <col min="4" max="4" width="15.5703125" style="406" customWidth="1"/>
    <col min="5" max="5" width="14.7109375" style="406" customWidth="1"/>
    <col min="6" max="6" width="12" style="406" customWidth="1"/>
    <col min="7" max="7" width="16.140625" style="406" customWidth="1"/>
    <col min="8" max="8" width="14.5703125" style="406" customWidth="1"/>
    <col min="9" max="9" width="12.140625" style="406" customWidth="1"/>
    <col min="10" max="10" width="15.85546875" style="406" customWidth="1"/>
    <col min="11" max="11" width="11.140625" style="406" customWidth="1"/>
    <col min="12" max="12" width="13" style="406" customWidth="1"/>
    <col min="13" max="16384" width="9.140625" style="406"/>
  </cols>
  <sheetData>
    <row r="1" spans="1:12" ht="19.5">
      <c r="A1" s="1446" t="s">
        <v>1910</v>
      </c>
      <c r="B1" s="1446"/>
      <c r="C1" s="1446"/>
      <c r="D1" s="1446"/>
      <c r="E1" s="1446"/>
      <c r="F1" s="1446"/>
      <c r="G1" s="1446"/>
      <c r="H1" s="1446"/>
      <c r="I1" s="1446"/>
      <c r="J1" s="1446"/>
      <c r="K1" s="1446"/>
      <c r="L1" s="1446"/>
    </row>
    <row r="2" spans="1:12" ht="19.5">
      <c r="A2" s="1446" t="s">
        <v>43</v>
      </c>
      <c r="B2" s="1446"/>
      <c r="C2" s="1446"/>
      <c r="D2" s="1446"/>
      <c r="E2" s="1446"/>
      <c r="F2" s="1446"/>
      <c r="G2" s="1446"/>
      <c r="H2" s="1446"/>
      <c r="I2" s="1446"/>
      <c r="J2" s="1446"/>
      <c r="K2" s="1446"/>
      <c r="L2" s="1446"/>
    </row>
    <row r="3" spans="1:12" ht="15.75">
      <c r="A3" s="1332"/>
      <c r="B3" s="1332"/>
      <c r="C3" s="1332"/>
      <c r="D3" s="1332"/>
      <c r="E3" s="1332"/>
      <c r="F3" s="1332"/>
      <c r="G3" s="1332"/>
      <c r="H3" s="1332"/>
      <c r="I3" s="1332"/>
      <c r="J3" s="1332"/>
      <c r="K3" s="1332"/>
      <c r="L3" s="1332"/>
    </row>
    <row r="4" spans="1:12" ht="15.75">
      <c r="A4" s="407"/>
      <c r="B4" s="325"/>
      <c r="C4" s="325"/>
      <c r="D4" s="325"/>
      <c r="E4" s="325"/>
      <c r="F4" s="408"/>
      <c r="G4" s="408"/>
      <c r="H4" s="408"/>
      <c r="I4" s="408"/>
      <c r="J4" s="325"/>
      <c r="K4" s="1485" t="s">
        <v>68</v>
      </c>
      <c r="L4" s="1485"/>
    </row>
    <row r="5" spans="1:12">
      <c r="A5" s="409"/>
      <c r="B5" s="325"/>
      <c r="C5" s="325"/>
      <c r="D5" s="325"/>
      <c r="E5" s="325"/>
      <c r="F5" s="325"/>
      <c r="G5" s="325"/>
      <c r="H5" s="325"/>
      <c r="I5" s="325"/>
      <c r="J5" s="325"/>
      <c r="K5" s="325"/>
      <c r="L5" s="325"/>
    </row>
    <row r="6" spans="1:12" s="403" customFormat="1" ht="19.5">
      <c r="A6" s="1574" t="s">
        <v>1033</v>
      </c>
      <c r="B6" s="1576" t="s">
        <v>6</v>
      </c>
      <c r="C6" s="1576"/>
      <c r="D6" s="1576"/>
      <c r="E6" s="1576"/>
      <c r="F6" s="1576"/>
      <c r="G6" s="1576"/>
      <c r="H6" s="1576" t="s">
        <v>7</v>
      </c>
      <c r="I6" s="1577"/>
      <c r="J6" s="1576"/>
      <c r="K6" s="1576"/>
      <c r="L6" s="1578"/>
    </row>
    <row r="7" spans="1:12" s="404" customFormat="1" ht="60" customHeight="1">
      <c r="A7" s="1575"/>
      <c r="B7" s="1572" t="s">
        <v>938</v>
      </c>
      <c r="C7" s="1573"/>
      <c r="D7" s="1570" t="s">
        <v>587</v>
      </c>
      <c r="E7" s="1570" t="s">
        <v>1034</v>
      </c>
      <c r="F7" s="1570" t="s">
        <v>1035</v>
      </c>
      <c r="G7" s="1570" t="s">
        <v>12</v>
      </c>
      <c r="H7" s="1570" t="s">
        <v>938</v>
      </c>
      <c r="I7" s="1570" t="s">
        <v>587</v>
      </c>
      <c r="J7" s="1570" t="s">
        <v>876</v>
      </c>
      <c r="K7" s="1570" t="s">
        <v>1035</v>
      </c>
      <c r="L7" s="1568" t="s">
        <v>12</v>
      </c>
    </row>
    <row r="8" spans="1:12" s="404" customFormat="1" ht="60" customHeight="1">
      <c r="A8" s="411"/>
      <c r="B8" s="412" t="s">
        <v>906</v>
      </c>
      <c r="C8" s="413" t="s">
        <v>907</v>
      </c>
      <c r="D8" s="1571"/>
      <c r="E8" s="1571"/>
      <c r="F8" s="1571"/>
      <c r="G8" s="1571"/>
      <c r="H8" s="1571"/>
      <c r="I8" s="1571"/>
      <c r="J8" s="1571"/>
      <c r="K8" s="1571"/>
      <c r="L8" s="1569"/>
    </row>
    <row r="9" spans="1:12">
      <c r="A9" s="414"/>
      <c r="B9" s="394"/>
      <c r="C9" s="394"/>
      <c r="D9" s="394"/>
      <c r="E9" s="394"/>
      <c r="F9" s="394"/>
      <c r="G9" s="394"/>
      <c r="H9" s="394"/>
      <c r="I9" s="394"/>
      <c r="J9" s="394"/>
      <c r="K9" s="394"/>
      <c r="L9" s="395"/>
    </row>
    <row r="10" spans="1:12" ht="15">
      <c r="A10" s="415" t="s">
        <v>1036</v>
      </c>
      <c r="B10" s="394">
        <v>226800</v>
      </c>
      <c r="C10" s="394"/>
      <c r="D10" s="394">
        <v>0</v>
      </c>
      <c r="E10" s="394">
        <v>0</v>
      </c>
      <c r="F10" s="394">
        <v>0</v>
      </c>
      <c r="G10" s="394">
        <f>SUM(B10:F10)</f>
        <v>226800</v>
      </c>
      <c r="H10" s="394">
        <v>154000</v>
      </c>
      <c r="I10" s="394">
        <v>0</v>
      </c>
      <c r="J10" s="394">
        <v>0</v>
      </c>
      <c r="K10" s="394">
        <v>0</v>
      </c>
      <c r="L10" s="429">
        <v>154000</v>
      </c>
    </row>
    <row r="11" spans="1:12" ht="15">
      <c r="A11" s="415"/>
      <c r="B11" s="394"/>
      <c r="C11" s="394"/>
      <c r="D11" s="394"/>
      <c r="E11" s="394"/>
      <c r="F11" s="394"/>
      <c r="G11" s="394"/>
      <c r="H11" s="394"/>
      <c r="I11" s="394"/>
      <c r="J11" s="394"/>
      <c r="K11" s="394"/>
      <c r="L11" s="429"/>
    </row>
    <row r="12" spans="1:12" ht="15">
      <c r="A12" s="415" t="s">
        <v>1037</v>
      </c>
      <c r="B12" s="394">
        <v>208071</v>
      </c>
      <c r="C12" s="394"/>
      <c r="D12" s="394">
        <v>0</v>
      </c>
      <c r="E12" s="394">
        <v>0</v>
      </c>
      <c r="F12" s="394">
        <v>0</v>
      </c>
      <c r="G12" s="394">
        <f t="shared" ref="G12:G22" si="0">SUM(B12:F12)</f>
        <v>208071</v>
      </c>
      <c r="H12" s="394">
        <v>294720</v>
      </c>
      <c r="I12" s="394">
        <v>0</v>
      </c>
      <c r="J12" s="394">
        <v>0</v>
      </c>
      <c r="K12" s="394">
        <v>0</v>
      </c>
      <c r="L12" s="429">
        <v>294720</v>
      </c>
    </row>
    <row r="13" spans="1:12" ht="15">
      <c r="A13" s="415"/>
      <c r="B13" s="394"/>
      <c r="C13" s="394"/>
      <c r="D13" s="394"/>
      <c r="E13" s="394"/>
      <c r="F13" s="394"/>
      <c r="G13" s="394"/>
      <c r="H13" s="394"/>
      <c r="I13" s="394"/>
      <c r="J13" s="394"/>
      <c r="K13" s="394"/>
      <c r="L13" s="429"/>
    </row>
    <row r="14" spans="1:12" ht="15">
      <c r="A14" s="415" t="s">
        <v>1038</v>
      </c>
      <c r="B14" s="394">
        <f>48776+5000</f>
        <v>53776</v>
      </c>
      <c r="C14" s="394"/>
      <c r="D14" s="394">
        <v>0</v>
      </c>
      <c r="E14" s="394">
        <v>0</v>
      </c>
      <c r="F14" s="394">
        <v>0</v>
      </c>
      <c r="G14" s="394">
        <f t="shared" si="0"/>
        <v>53776</v>
      </c>
      <c r="H14" s="394">
        <v>121112</v>
      </c>
      <c r="I14" s="394">
        <v>0</v>
      </c>
      <c r="J14" s="394">
        <v>0</v>
      </c>
      <c r="K14" s="394">
        <v>0</v>
      </c>
      <c r="L14" s="429">
        <v>121112</v>
      </c>
    </row>
    <row r="15" spans="1:12" ht="15">
      <c r="A15" s="415" t="s">
        <v>1039</v>
      </c>
      <c r="B15" s="394"/>
      <c r="C15" s="394"/>
      <c r="D15" s="394"/>
      <c r="E15" s="394"/>
      <c r="F15" s="394"/>
      <c r="G15" s="394"/>
      <c r="H15" s="394"/>
      <c r="I15" s="394"/>
      <c r="J15" s="394"/>
      <c r="K15" s="394"/>
      <c r="L15" s="429"/>
    </row>
    <row r="16" spans="1:12" ht="15">
      <c r="A16" s="415"/>
      <c r="B16" s="394"/>
      <c r="C16" s="394"/>
      <c r="D16" s="394"/>
      <c r="E16" s="394"/>
      <c r="F16" s="394"/>
      <c r="G16" s="394"/>
      <c r="H16" s="394"/>
      <c r="I16" s="394"/>
      <c r="J16" s="394"/>
      <c r="K16" s="394"/>
      <c r="L16" s="429"/>
    </row>
    <row r="17" spans="1:12" ht="15">
      <c r="A17" s="415" t="s">
        <v>1040</v>
      </c>
      <c r="B17" s="394">
        <v>0</v>
      </c>
      <c r="C17" s="394"/>
      <c r="D17" s="394">
        <v>0</v>
      </c>
      <c r="E17" s="394">
        <v>0</v>
      </c>
      <c r="F17" s="394">
        <v>0</v>
      </c>
      <c r="G17" s="394">
        <f t="shared" si="0"/>
        <v>0</v>
      </c>
      <c r="H17" s="394">
        <v>0</v>
      </c>
      <c r="I17" s="394">
        <v>0</v>
      </c>
      <c r="J17" s="394">
        <v>0</v>
      </c>
      <c r="K17" s="394">
        <v>0</v>
      </c>
      <c r="L17" s="429">
        <v>0</v>
      </c>
    </row>
    <row r="18" spans="1:12" ht="15">
      <c r="A18" s="415" t="s">
        <v>1041</v>
      </c>
      <c r="B18" s="394"/>
      <c r="C18" s="394"/>
      <c r="D18" s="394"/>
      <c r="E18" s="394">
        <f>SUM(E10:E17)</f>
        <v>0</v>
      </c>
      <c r="F18" s="394"/>
      <c r="G18" s="394"/>
      <c r="H18" s="394"/>
      <c r="I18" s="394"/>
      <c r="J18" s="394"/>
      <c r="K18" s="394"/>
      <c r="L18" s="429"/>
    </row>
    <row r="19" spans="1:12" ht="15">
      <c r="A19" s="415"/>
      <c r="B19" s="394"/>
      <c r="C19" s="394"/>
      <c r="D19" s="394"/>
      <c r="E19" s="394"/>
      <c r="F19" s="394"/>
      <c r="G19" s="394"/>
      <c r="H19" s="394"/>
      <c r="I19" s="394"/>
      <c r="J19" s="394"/>
      <c r="K19" s="394"/>
      <c r="L19" s="429"/>
    </row>
    <row r="20" spans="1:12" ht="15">
      <c r="A20" s="415" t="s">
        <v>1042</v>
      </c>
      <c r="B20" s="394">
        <f>C29</f>
        <v>1564353</v>
      </c>
      <c r="C20" s="394">
        <f>53238+3393207</f>
        <v>3446445</v>
      </c>
      <c r="D20" s="394">
        <v>0</v>
      </c>
      <c r="E20" s="394">
        <v>0</v>
      </c>
      <c r="F20" s="394">
        <v>0</v>
      </c>
      <c r="G20" s="394">
        <f t="shared" si="0"/>
        <v>5010798</v>
      </c>
      <c r="H20" s="394">
        <v>1448401</v>
      </c>
      <c r="I20" s="394">
        <v>0</v>
      </c>
      <c r="J20" s="394">
        <v>0</v>
      </c>
      <c r="K20" s="394">
        <v>0</v>
      </c>
      <c r="L20" s="429">
        <v>1448401</v>
      </c>
    </row>
    <row r="21" spans="1:12">
      <c r="A21" s="414" t="s">
        <v>838</v>
      </c>
      <c r="B21" s="394"/>
      <c r="C21" s="394"/>
      <c r="D21" s="394"/>
      <c r="E21" s="394"/>
      <c r="F21" s="394"/>
      <c r="G21" s="394"/>
      <c r="H21" s="394"/>
      <c r="I21" s="394"/>
      <c r="J21" s="394"/>
      <c r="K21" s="394"/>
      <c r="L21" s="395"/>
    </row>
    <row r="22" spans="1:12" s="405" customFormat="1" ht="15.75">
      <c r="A22" s="416" t="s">
        <v>12</v>
      </c>
      <c r="B22" s="417">
        <f>SUM(B10:B20)</f>
        <v>2053000</v>
      </c>
      <c r="C22" s="417">
        <f>SUM(C10:C20)</f>
        <v>3446445</v>
      </c>
      <c r="D22" s="417">
        <f>SUM(D10:D20)</f>
        <v>0</v>
      </c>
      <c r="E22" s="417">
        <f>SUM(E10:E20)</f>
        <v>0</v>
      </c>
      <c r="F22" s="417">
        <f>SUM(F10:F20)</f>
        <v>0</v>
      </c>
      <c r="G22" s="417">
        <f t="shared" si="0"/>
        <v>5499445</v>
      </c>
      <c r="H22" s="417">
        <f>SUM(H10:H20)</f>
        <v>2018233</v>
      </c>
      <c r="I22" s="417">
        <f>SUM(I10:I20)</f>
        <v>0</v>
      </c>
      <c r="J22" s="417">
        <f>SUM(J10:J20)</f>
        <v>0</v>
      </c>
      <c r="K22" s="417">
        <f>SUM(K10:K20)</f>
        <v>0</v>
      </c>
      <c r="L22" s="430">
        <f>H22+I22+J22+K22</f>
        <v>2018233</v>
      </c>
    </row>
    <row r="23" spans="1:12" s="405" customFormat="1" ht="15.75">
      <c r="A23" s="1276"/>
      <c r="B23" s="1244"/>
      <c r="C23" s="1244"/>
      <c r="D23" s="1244"/>
      <c r="E23" s="1244"/>
      <c r="F23" s="1244"/>
      <c r="G23" s="1244"/>
      <c r="H23" s="1244"/>
      <c r="I23" s="1244"/>
      <c r="J23" s="1244"/>
      <c r="K23" s="1244"/>
      <c r="L23" s="1244"/>
    </row>
    <row r="24" spans="1:12">
      <c r="A24" s="409"/>
      <c r="B24" s="409"/>
      <c r="C24" s="409"/>
      <c r="D24" s="409"/>
      <c r="E24" s="409"/>
      <c r="F24" s="409"/>
      <c r="G24" s="409"/>
      <c r="H24" s="409"/>
      <c r="I24" s="409"/>
      <c r="J24" s="409"/>
      <c r="K24" s="409"/>
      <c r="L24" s="325"/>
    </row>
    <row r="25" spans="1:12">
      <c r="A25" s="418"/>
      <c r="B25" s="419" t="s">
        <v>1043</v>
      </c>
      <c r="C25" s="420" t="s">
        <v>1044</v>
      </c>
      <c r="D25" s="419" t="s">
        <v>491</v>
      </c>
      <c r="E25" s="409"/>
      <c r="F25" s="409"/>
      <c r="G25" s="409"/>
      <c r="H25" s="409"/>
      <c r="I25" s="409"/>
      <c r="J25" s="409"/>
      <c r="K25" s="409"/>
      <c r="L25" s="325"/>
    </row>
    <row r="26" spans="1:12" ht="15">
      <c r="A26" s="421" t="s">
        <v>1045</v>
      </c>
      <c r="B26" s="422"/>
      <c r="C26" s="423">
        <v>1511353</v>
      </c>
      <c r="D26" s="422">
        <f>SUM(B26:C26)</f>
        <v>1511353</v>
      </c>
      <c r="E26" s="325"/>
      <c r="F26" s="325"/>
      <c r="G26" s="424"/>
      <c r="H26" s="325"/>
      <c r="I26" s="325"/>
      <c r="J26" s="325"/>
      <c r="K26" s="325"/>
      <c r="L26" s="355" t="s">
        <v>20</v>
      </c>
    </row>
    <row r="27" spans="1:12" ht="15">
      <c r="A27" s="421" t="s">
        <v>1046</v>
      </c>
      <c r="B27" s="423"/>
      <c r="C27" s="423">
        <v>53000</v>
      </c>
      <c r="D27" s="422">
        <f t="shared" ref="D27:D28" si="1">SUM(B27:C27)</f>
        <v>53000</v>
      </c>
      <c r="E27" s="325"/>
      <c r="F27" s="325"/>
      <c r="G27" s="424"/>
      <c r="H27" s="325"/>
      <c r="I27" s="325"/>
      <c r="J27" s="325"/>
      <c r="K27" s="325"/>
      <c r="L27" s="325"/>
    </row>
    <row r="28" spans="1:12" ht="15">
      <c r="A28" s="421" t="s">
        <v>1047</v>
      </c>
      <c r="B28" s="425"/>
      <c r="C28" s="425"/>
      <c r="D28" s="422">
        <f t="shared" si="1"/>
        <v>0</v>
      </c>
      <c r="E28" s="325"/>
      <c r="F28" s="325"/>
      <c r="G28" s="424"/>
      <c r="H28" s="325"/>
      <c r="I28" s="325"/>
      <c r="J28" s="325"/>
      <c r="K28" s="325"/>
      <c r="L28" s="325"/>
    </row>
    <row r="29" spans="1:12" ht="15">
      <c r="A29" s="426" t="s">
        <v>491</v>
      </c>
      <c r="B29" s="427">
        <f>B26+B27-B28</f>
        <v>0</v>
      </c>
      <c r="C29" s="427">
        <f t="shared" ref="C29:D29" si="2">C26+C27-C28</f>
        <v>1564353</v>
      </c>
      <c r="D29" s="427">
        <f t="shared" si="2"/>
        <v>1564353</v>
      </c>
    </row>
  </sheetData>
  <customSheetViews>
    <customSheetView guid="{B1076A3F-74CA-4685-9B64-0249438E4A9A}" scale="90" showPageBreaks="1" printArea="1" view="pageBreakPreview" topLeftCell="A16">
      <selection activeCell="M24" sqref="M24"/>
      <pageMargins left="0" right="0" top="0" bottom="0" header="0.511811023622047" footer="0.511811023622047"/>
      <printOptions horizontalCentered="1" verticalCentered="1"/>
      <pageSetup paperSize="9" scale="76" orientation="landscape"/>
      <headerFooter alignWithMargins="0"/>
    </customSheetView>
    <customSheetView guid="{789595AE-36A2-4B02-81C2-3D94932E7381}" scale="90" showPageBreaks="1" printArea="1" view="pageBreakPreview" topLeftCell="A16">
      <selection activeCell="M24" sqref="M24"/>
      <pageMargins left="0" right="0" top="0" bottom="0" header="0.511811023622047" footer="0.511811023622047"/>
      <printOptions horizontalCentered="1" verticalCentered="1"/>
      <pageSetup paperSize="9" scale="76" orientation="landscape"/>
      <headerFooter alignWithMargins="0"/>
    </customSheetView>
  </customSheetViews>
  <mergeCells count="17">
    <mergeCell ref="A1:L1"/>
    <mergeCell ref="A2:L2"/>
    <mergeCell ref="A3:L3"/>
    <mergeCell ref="K4:L4"/>
    <mergeCell ref="B6:G6"/>
    <mergeCell ref="H6:L6"/>
    <mergeCell ref="B7:C7"/>
    <mergeCell ref="A6:A7"/>
    <mergeCell ref="D7:D8"/>
    <mergeCell ref="E7:E8"/>
    <mergeCell ref="F7:F8"/>
    <mergeCell ref="L7:L8"/>
    <mergeCell ref="G7:G8"/>
    <mergeCell ref="H7:H8"/>
    <mergeCell ref="I7:I8"/>
    <mergeCell ref="J7:J8"/>
    <mergeCell ref="K7:K8"/>
  </mergeCells>
  <printOptions horizontalCentered="1" verticalCentered="1"/>
  <pageMargins left="0" right="0" top="0" bottom="0" header="0.35433070866141703" footer="0.31496062992126"/>
  <pageSetup paperSize="9" scale="75" orientation="landscape" r:id="rId1"/>
  <headerFooter alignWithMargins="0"/>
  <ignoredErrors>
    <ignoredError sqref="G22" formula="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K17"/>
  <sheetViews>
    <sheetView view="pageBreakPreview" zoomScaleNormal="100" zoomScaleSheetLayoutView="100" workbookViewId="0">
      <selection sqref="A1:D1"/>
    </sheetView>
  </sheetViews>
  <sheetFormatPr defaultColWidth="9" defaultRowHeight="12.75"/>
  <cols>
    <col min="1" max="1" width="51.140625" style="380" customWidth="1"/>
    <col min="2" max="2" width="17.7109375" customWidth="1"/>
    <col min="3" max="3" width="20" customWidth="1"/>
    <col min="4" max="4" width="5.85546875" customWidth="1"/>
  </cols>
  <sheetData>
    <row r="1" spans="1:11" ht="15">
      <c r="A1" s="1492" t="s">
        <v>1910</v>
      </c>
      <c r="B1" s="1492"/>
      <c r="C1" s="1492"/>
      <c r="D1" s="1492"/>
    </row>
    <row r="2" spans="1:11" ht="15">
      <c r="A2" s="1492" t="s">
        <v>43</v>
      </c>
      <c r="B2" s="1492"/>
      <c r="C2" s="1492"/>
      <c r="D2" s="1492"/>
    </row>
    <row r="3" spans="1:11">
      <c r="A3" s="1508"/>
      <c r="B3" s="1508"/>
      <c r="C3" s="1508"/>
      <c r="D3" s="1508"/>
    </row>
    <row r="4" spans="1:11" ht="15.75">
      <c r="A4" s="383"/>
      <c r="B4" s="324"/>
      <c r="C4" s="324"/>
      <c r="D4" s="383"/>
      <c r="K4" s="401"/>
    </row>
    <row r="5" spans="1:11" ht="15">
      <c r="A5" s="384"/>
      <c r="B5" s="324"/>
      <c r="C5" s="385" t="s">
        <v>68</v>
      </c>
      <c r="D5" s="324"/>
    </row>
    <row r="6" spans="1:11" s="379" customFormat="1" ht="15">
      <c r="A6" s="386" t="s">
        <v>1048</v>
      </c>
      <c r="B6" s="387" t="s">
        <v>6</v>
      </c>
      <c r="C6" s="388" t="s">
        <v>7</v>
      </c>
      <c r="D6" s="389"/>
      <c r="I6" s="402"/>
    </row>
    <row r="7" spans="1:11">
      <c r="A7" s="390"/>
      <c r="B7" s="391"/>
      <c r="C7" s="392"/>
      <c r="D7" s="324"/>
    </row>
    <row r="8" spans="1:11" ht="15">
      <c r="A8" s="393" t="s">
        <v>1049</v>
      </c>
      <c r="B8" s="394">
        <v>0</v>
      </c>
      <c r="C8" s="395">
        <v>0</v>
      </c>
      <c r="D8" s="324"/>
      <c r="E8" s="396"/>
    </row>
    <row r="9" spans="1:11">
      <c r="A9" s="397"/>
      <c r="B9" s="394"/>
      <c r="C9" s="395"/>
      <c r="D9" s="324"/>
    </row>
    <row r="10" spans="1:11">
      <c r="A10" s="397"/>
      <c r="B10" s="394"/>
      <c r="C10" s="392"/>
      <c r="D10" s="324"/>
    </row>
    <row r="11" spans="1:11">
      <c r="A11" s="397"/>
      <c r="B11" s="394"/>
      <c r="C11" s="392"/>
      <c r="D11" s="324"/>
    </row>
    <row r="12" spans="1:11">
      <c r="A12" s="397"/>
      <c r="B12" s="394"/>
      <c r="C12" s="392"/>
      <c r="D12" s="324"/>
    </row>
    <row r="13" spans="1:11">
      <c r="A13" s="398" t="s">
        <v>491</v>
      </c>
      <c r="B13" s="399">
        <f>B8</f>
        <v>0</v>
      </c>
      <c r="C13" s="400">
        <f>C8</f>
        <v>0</v>
      </c>
      <c r="D13" s="324"/>
    </row>
    <row r="14" spans="1:11">
      <c r="A14" s="356"/>
      <c r="B14" s="324"/>
      <c r="C14" s="324"/>
      <c r="D14" s="324"/>
    </row>
    <row r="15" spans="1:11">
      <c r="A15" s="356"/>
      <c r="B15" s="354"/>
      <c r="C15" s="324"/>
      <c r="D15" s="324"/>
    </row>
    <row r="16" spans="1:11">
      <c r="A16" s="356"/>
      <c r="B16" s="324"/>
      <c r="C16" s="355" t="s">
        <v>20</v>
      </c>
      <c r="D16" s="324"/>
    </row>
    <row r="17" spans="1:4">
      <c r="A17" s="356"/>
      <c r="B17" s="324"/>
      <c r="C17" s="324"/>
      <c r="D17" s="324">
        <f>SUM(D9:D16)</f>
        <v>0</v>
      </c>
    </row>
  </sheetData>
  <customSheetViews>
    <customSheetView guid="{B1076A3F-74CA-4685-9B64-0249438E4A9A}" scale="160" showPageBreaks="1" printArea="1" view="pageBreakPreview">
      <selection activeCell="C16" sqref="C16"/>
      <pageMargins left="0" right="0" top="0" bottom="0" header="0.511811023622047" footer="0.511811023622047"/>
      <printOptions horizontalCentered="1" verticalCentered="1"/>
      <pageSetup paperSize="9" scale="135" orientation="landscape"/>
      <headerFooter alignWithMargins="0"/>
    </customSheetView>
    <customSheetView guid="{789595AE-36A2-4B02-81C2-3D94932E7381}" scale="160" showPageBreaks="1" printArea="1" view="pageBreakPreview">
      <selection activeCell="C16" sqref="C16"/>
      <pageMargins left="0" right="0" top="0" bottom="0" header="0.511811023622047" footer="0.511811023622047"/>
      <printOptions horizontalCentered="1" verticalCentered="1"/>
      <pageSetup paperSize="9" scale="135" orientation="landscape"/>
      <headerFooter alignWithMargins="0"/>
    </customSheetView>
  </customSheetViews>
  <mergeCells count="3">
    <mergeCell ref="A1:D1"/>
    <mergeCell ref="A2:D2"/>
    <mergeCell ref="A3:D3"/>
  </mergeCells>
  <printOptions horizontalCentered="1" verticalCentered="1"/>
  <pageMargins left="0" right="0" top="0" bottom="0" header="0.35433070866141703" footer="0.31496062992126"/>
  <pageSetup paperSize="9" scale="9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28"/>
  <sheetViews>
    <sheetView view="pageBreakPreview" topLeftCell="A19" zoomScaleNormal="100" workbookViewId="0">
      <selection activeCell="A6" sqref="A6:B6"/>
    </sheetView>
  </sheetViews>
  <sheetFormatPr defaultColWidth="9.140625" defaultRowHeight="15"/>
  <cols>
    <col min="1" max="1" width="5" style="19" customWidth="1"/>
    <col min="2" max="2" width="51.140625" style="19" customWidth="1"/>
    <col min="3" max="3" width="19.85546875" style="19" customWidth="1"/>
    <col min="4" max="4" width="22.28515625" style="19" customWidth="1"/>
    <col min="5" max="6" width="9.140625" style="19"/>
    <col min="7" max="7" width="11" style="19" customWidth="1"/>
    <col min="8" max="16384" width="9.140625" style="19"/>
  </cols>
  <sheetData>
    <row r="1" spans="1:4">
      <c r="D1" s="243" t="s">
        <v>1050</v>
      </c>
    </row>
    <row r="2" spans="1:4" ht="17.25">
      <c r="A2" s="1584" t="s">
        <v>1910</v>
      </c>
      <c r="B2" s="1584"/>
      <c r="C2" s="1584"/>
      <c r="D2" s="1584"/>
    </row>
    <row r="3" spans="1:4" ht="17.25">
      <c r="A3" s="1584" t="s">
        <v>43</v>
      </c>
      <c r="B3" s="1584"/>
      <c r="C3" s="1584"/>
      <c r="D3" s="1584"/>
    </row>
    <row r="4" spans="1:4">
      <c r="A4" s="1550"/>
      <c r="B4" s="1550"/>
      <c r="C4" s="1550"/>
      <c r="D4" s="1550"/>
    </row>
    <row r="5" spans="1:4">
      <c r="A5" s="22"/>
      <c r="B5" s="22"/>
      <c r="D5" s="243" t="s">
        <v>1051</v>
      </c>
    </row>
    <row r="6" spans="1:4" ht="28.5" customHeight="1">
      <c r="A6" s="1585" t="s">
        <v>1052</v>
      </c>
      <c r="B6" s="1586"/>
      <c r="C6" s="362" t="s">
        <v>6</v>
      </c>
      <c r="D6" s="362" t="s">
        <v>7</v>
      </c>
    </row>
    <row r="7" spans="1:4" ht="23.25" customHeight="1">
      <c r="A7" s="363">
        <v>1</v>
      </c>
      <c r="B7" s="364" t="s">
        <v>1053</v>
      </c>
      <c r="C7" s="36" t="s">
        <v>1911</v>
      </c>
      <c r="D7" s="36"/>
    </row>
    <row r="8" spans="1:4" ht="33" customHeight="1">
      <c r="A8" s="363">
        <v>2</v>
      </c>
      <c r="B8" s="365" t="s">
        <v>1054</v>
      </c>
      <c r="C8" s="36" t="s">
        <v>1911</v>
      </c>
      <c r="D8" s="36"/>
    </row>
    <row r="9" spans="1:4" ht="50.25" customHeight="1">
      <c r="A9" s="363">
        <v>3</v>
      </c>
      <c r="B9" s="365" t="s">
        <v>1055</v>
      </c>
      <c r="C9" s="36" t="s">
        <v>1911</v>
      </c>
      <c r="D9" s="36"/>
    </row>
    <row r="10" spans="1:4">
      <c r="A10" s="366"/>
      <c r="B10" s="367" t="s">
        <v>491</v>
      </c>
      <c r="C10" s="368"/>
      <c r="D10" s="368"/>
    </row>
    <row r="11" spans="1:4">
      <c r="A11" s="369"/>
      <c r="B11" s="370"/>
      <c r="C11" s="371"/>
      <c r="D11" s="371"/>
    </row>
    <row r="12" spans="1:4" s="360" customFormat="1" ht="60">
      <c r="A12" s="372" t="s">
        <v>605</v>
      </c>
      <c r="B12" s="372" t="s">
        <v>1056</v>
      </c>
      <c r="C12" s="373" t="s">
        <v>1057</v>
      </c>
      <c r="D12" s="373" t="s">
        <v>1058</v>
      </c>
    </row>
    <row r="13" spans="1:4" ht="36" customHeight="1">
      <c r="A13" s="374">
        <v>1</v>
      </c>
      <c r="B13" s="375" t="s">
        <v>1059</v>
      </c>
      <c r="C13" s="376" t="s">
        <v>1911</v>
      </c>
      <c r="D13" s="376"/>
    </row>
    <row r="14" spans="1:4">
      <c r="A14" s="22"/>
      <c r="B14" s="22"/>
    </row>
    <row r="15" spans="1:4">
      <c r="A15" s="1587" t="s">
        <v>1060</v>
      </c>
      <c r="B15" s="1587"/>
    </row>
    <row r="16" spans="1:4">
      <c r="A16" s="1582" t="s">
        <v>1061</v>
      </c>
      <c r="B16" s="1582"/>
      <c r="C16" s="1582"/>
      <c r="D16" s="1582"/>
    </row>
    <row r="17" spans="1:4" ht="20.25" customHeight="1">
      <c r="A17" s="1583" t="s">
        <v>1062</v>
      </c>
      <c r="B17" s="1583"/>
      <c r="C17" s="1583"/>
      <c r="D17" s="1583"/>
    </row>
    <row r="18" spans="1:4" ht="47.25" customHeight="1">
      <c r="A18" s="1580" t="s">
        <v>1063</v>
      </c>
      <c r="B18" s="1580"/>
      <c r="C18" s="1580"/>
      <c r="D18" s="1580"/>
    </row>
    <row r="19" spans="1:4" ht="29.25" customHeight="1">
      <c r="A19" s="1579" t="s">
        <v>1064</v>
      </c>
      <c r="B19" s="1579"/>
      <c r="C19" s="1579"/>
      <c r="D19" s="1579"/>
    </row>
    <row r="20" spans="1:4" ht="8.25" customHeight="1">
      <c r="A20" s="377"/>
      <c r="B20" s="377"/>
      <c r="C20" s="377"/>
      <c r="D20" s="377"/>
    </row>
    <row r="21" spans="1:4" ht="29.25" customHeight="1">
      <c r="A21" s="1580" t="s">
        <v>1065</v>
      </c>
      <c r="B21" s="1580"/>
      <c r="C21" s="1580"/>
      <c r="D21" s="1580"/>
    </row>
    <row r="22" spans="1:4" ht="47.25" customHeight="1">
      <c r="A22" s="1579" t="s">
        <v>1066</v>
      </c>
      <c r="B22" s="1579"/>
      <c r="C22" s="1579"/>
      <c r="D22" s="1579"/>
    </row>
    <row r="23" spans="1:4" ht="10.5" customHeight="1">
      <c r="A23" s="377"/>
      <c r="B23" s="377"/>
      <c r="C23" s="377"/>
      <c r="D23" s="377"/>
    </row>
    <row r="24" spans="1:4" ht="29.25" customHeight="1">
      <c r="A24" s="1580" t="s">
        <v>1067</v>
      </c>
      <c r="B24" s="1580"/>
      <c r="C24" s="1580"/>
      <c r="D24" s="1580"/>
    </row>
    <row r="25" spans="1:4" ht="48.75" customHeight="1">
      <c r="A25" s="1581" t="s">
        <v>1068</v>
      </c>
      <c r="B25" s="1581"/>
      <c r="C25" s="1581"/>
      <c r="D25" s="1581"/>
    </row>
    <row r="26" spans="1:4" ht="30" customHeight="1">
      <c r="A26" s="1580" t="s">
        <v>1069</v>
      </c>
      <c r="B26" s="1580"/>
      <c r="C26" s="1580"/>
      <c r="D26" s="1580"/>
    </row>
    <row r="27" spans="1:4" ht="11.25" customHeight="1"/>
    <row r="28" spans="1:4" ht="20.25" customHeight="1">
      <c r="A28" s="360"/>
      <c r="B28" s="360"/>
      <c r="C28" s="378" t="s">
        <v>20</v>
      </c>
      <c r="D28" s="378"/>
    </row>
  </sheetData>
  <mergeCells count="14">
    <mergeCell ref="A2:D2"/>
    <mergeCell ref="A3:D3"/>
    <mergeCell ref="A4:D4"/>
    <mergeCell ref="A6:B6"/>
    <mergeCell ref="A15:B15"/>
    <mergeCell ref="A22:D22"/>
    <mergeCell ref="A24:D24"/>
    <mergeCell ref="A25:D25"/>
    <mergeCell ref="A26:D26"/>
    <mergeCell ref="A16:D16"/>
    <mergeCell ref="A17:D17"/>
    <mergeCell ref="A18:D18"/>
    <mergeCell ref="A19:D19"/>
    <mergeCell ref="A21:D21"/>
  </mergeCells>
  <printOptions horizontalCentered="1" verticalCentered="1"/>
  <pageMargins left="0" right="0" top="0" bottom="0" header="0.35433070866141703" footer="0.31496062992126"/>
  <pageSetup paperSize="9" scale="82"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D10"/>
  <sheetViews>
    <sheetView view="pageBreakPreview" zoomScale="130" zoomScaleNormal="100" workbookViewId="0">
      <selection activeCell="C8" sqref="C8"/>
    </sheetView>
  </sheetViews>
  <sheetFormatPr defaultColWidth="9" defaultRowHeight="12.75"/>
  <cols>
    <col min="2" max="2" width="7.7109375" customWidth="1"/>
    <col min="3" max="3" width="71.140625" customWidth="1"/>
    <col min="4" max="4" width="25" customWidth="1"/>
    <col min="6" max="6" width="10" customWidth="1"/>
    <col min="10" max="10" width="10" customWidth="1"/>
  </cols>
  <sheetData>
    <row r="1" spans="2:4">
      <c r="C1" s="78"/>
    </row>
    <row r="2" spans="2:4" ht="21">
      <c r="B2" s="1588" t="s">
        <v>1070</v>
      </c>
      <c r="C2" s="1588"/>
      <c r="D2" s="1588"/>
    </row>
    <row r="3" spans="2:4">
      <c r="B3" s="139"/>
      <c r="C3" s="357"/>
      <c r="D3" s="139"/>
    </row>
    <row r="4" spans="2:4" ht="24.95" customHeight="1">
      <c r="B4" s="358">
        <v>1</v>
      </c>
      <c r="C4" s="102" t="s">
        <v>1071</v>
      </c>
      <c r="D4" s="1102" t="s">
        <v>1072</v>
      </c>
    </row>
    <row r="5" spans="2:4" ht="24.95" customHeight="1">
      <c r="B5" s="358">
        <v>2</v>
      </c>
      <c r="C5" s="102" t="s">
        <v>1073</v>
      </c>
      <c r="D5" s="1102" t="s">
        <v>1074</v>
      </c>
    </row>
    <row r="6" spans="2:4" ht="24.95" customHeight="1">
      <c r="B6" s="358">
        <v>3</v>
      </c>
      <c r="C6" s="102" t="s">
        <v>1075</v>
      </c>
      <c r="D6" s="1102" t="s">
        <v>1076</v>
      </c>
    </row>
    <row r="7" spans="2:4" ht="24.95" customHeight="1">
      <c r="B7" s="358">
        <v>4</v>
      </c>
      <c r="C7" s="102" t="s">
        <v>1077</v>
      </c>
      <c r="D7" s="1102" t="s">
        <v>1078</v>
      </c>
    </row>
    <row r="8" spans="2:4" ht="24.95" customHeight="1">
      <c r="B8" s="358">
        <v>5</v>
      </c>
      <c r="C8" s="102" t="s">
        <v>1079</v>
      </c>
      <c r="D8" s="1102" t="s">
        <v>1080</v>
      </c>
    </row>
    <row r="9" spans="2:4" ht="24.95" customHeight="1">
      <c r="B9" s="358">
        <v>6</v>
      </c>
      <c r="C9" s="102" t="s">
        <v>1081</v>
      </c>
      <c r="D9" s="1102" t="s">
        <v>1082</v>
      </c>
    </row>
    <row r="10" spans="2:4" ht="24.95" customHeight="1">
      <c r="B10" s="359"/>
      <c r="C10" s="359"/>
      <c r="D10" s="359"/>
    </row>
  </sheetData>
  <customSheetViews>
    <customSheetView guid="{B1076A3F-74CA-4685-9B64-0249438E4A9A}" scale="130" showPageBreaks="1" printArea="1" state="hidden" view="pageBreakPreview">
      <selection activeCell="C8" sqref="C8"/>
      <pageMargins left="0.75" right="0.75" top="1" bottom="1" header="0.5" footer="0.5"/>
      <printOptions horizontalCentered="1"/>
      <pageSetup paperSize="9" orientation="landscape"/>
      <headerFooter alignWithMargins="0"/>
    </customSheetView>
    <customSheetView guid="{789595AE-36A2-4B02-81C2-3D94932E7381}" scale="130" showPageBreaks="1" printArea="1" state="hidden" view="pageBreakPreview">
      <selection activeCell="C8" sqref="C8"/>
      <pageMargins left="0.75" right="0.75" top="1" bottom="1" header="0.5" footer="0.5"/>
      <printOptions horizontalCentered="1"/>
      <pageSetup paperSize="9" orientation="landscape"/>
      <headerFooter alignWithMargins="0"/>
    </customSheetView>
  </customSheetViews>
  <mergeCells count="1">
    <mergeCell ref="B2:D2"/>
  </mergeCells>
  <printOptions horizontalCentered="1"/>
  <pageMargins left="0.75" right="0.75" top="1" bottom="1" header="0.5" footer="0.5"/>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55"/>
  <sheetViews>
    <sheetView view="pageBreakPreview" topLeftCell="A25" zoomScale="115" zoomScaleNormal="100" workbookViewId="0">
      <selection activeCell="E43" sqref="E43"/>
    </sheetView>
  </sheetViews>
  <sheetFormatPr defaultColWidth="9.140625" defaultRowHeight="12.75"/>
  <cols>
    <col min="1" max="1" width="38" style="324" customWidth="1"/>
    <col min="2" max="2" width="10.5703125" style="325" customWidth="1"/>
    <col min="3" max="3" width="9.28515625" style="324" customWidth="1"/>
    <col min="4" max="4" width="32.42578125" style="324" customWidth="1"/>
    <col min="5" max="5" width="11.28515625" style="325" customWidth="1"/>
    <col min="6" max="6" width="9" style="324" customWidth="1"/>
    <col min="7" max="7" width="16.5703125" style="324" customWidth="1"/>
    <col min="8" max="8" width="15.140625" style="324" customWidth="1"/>
    <col min="9" max="9" width="21" style="324" customWidth="1"/>
    <col min="10" max="16384" width="9.140625" style="324"/>
  </cols>
  <sheetData>
    <row r="1" spans="1:8">
      <c r="A1" s="1589" t="s">
        <v>1910</v>
      </c>
      <c r="B1" s="1589"/>
      <c r="C1" s="1589"/>
      <c r="D1" s="1589"/>
      <c r="E1" s="1589"/>
      <c r="F1" s="1589"/>
    </row>
    <row r="2" spans="1:8">
      <c r="A2" s="1589" t="s">
        <v>43</v>
      </c>
      <c r="B2" s="1589"/>
      <c r="C2" s="1589"/>
      <c r="D2" s="1589"/>
      <c r="E2" s="1589"/>
      <c r="F2" s="1589"/>
    </row>
    <row r="3" spans="1:8">
      <c r="A3" s="1590" t="s">
        <v>1083</v>
      </c>
      <c r="B3" s="1590"/>
      <c r="C3" s="1590"/>
      <c r="D3" s="1590"/>
      <c r="E3" s="1590"/>
      <c r="F3" s="1590"/>
    </row>
    <row r="4" spans="1:8" ht="15">
      <c r="A4" s="1591" t="s">
        <v>1084</v>
      </c>
      <c r="B4" s="1591"/>
      <c r="C4" s="1591"/>
      <c r="D4" s="1591"/>
      <c r="E4" s="1591"/>
      <c r="F4" s="1591"/>
    </row>
    <row r="5" spans="1:8">
      <c r="A5" s="326"/>
      <c r="B5" s="327"/>
      <c r="C5" s="328"/>
      <c r="D5" s="329"/>
      <c r="E5" s="329"/>
      <c r="F5" s="330" t="s">
        <v>3</v>
      </c>
    </row>
    <row r="6" spans="1:8" ht="28.5" customHeight="1">
      <c r="A6" s="331" t="s">
        <v>1085</v>
      </c>
      <c r="B6" s="332" t="s">
        <v>6</v>
      </c>
      <c r="C6" s="333" t="s">
        <v>7</v>
      </c>
      <c r="D6" s="333" t="s">
        <v>1086</v>
      </c>
      <c r="E6" s="332" t="s">
        <v>6</v>
      </c>
      <c r="F6" s="333" t="s">
        <v>7</v>
      </c>
    </row>
    <row r="7" spans="1:8">
      <c r="A7" s="334" t="s">
        <v>1087</v>
      </c>
      <c r="B7" s="335"/>
      <c r="C7" s="336"/>
      <c r="D7" s="337" t="s">
        <v>1088</v>
      </c>
      <c r="E7" s="338"/>
      <c r="F7" s="336"/>
    </row>
    <row r="8" spans="1:8">
      <c r="A8" s="339" t="s">
        <v>1089</v>
      </c>
      <c r="B8" s="340">
        <v>255000</v>
      </c>
      <c r="C8" s="341"/>
      <c r="D8" s="339" t="s">
        <v>1090</v>
      </c>
      <c r="E8" s="335">
        <v>391274770</v>
      </c>
      <c r="F8" s="335"/>
    </row>
    <row r="9" spans="1:8">
      <c r="A9" s="339" t="s">
        <v>1091</v>
      </c>
      <c r="B9" s="342"/>
      <c r="C9" s="341"/>
      <c r="D9" s="339" t="s">
        <v>1092</v>
      </c>
      <c r="E9" s="335">
        <v>79651785</v>
      </c>
      <c r="F9" s="335"/>
    </row>
    <row r="10" spans="1:8">
      <c r="A10" s="343" t="s">
        <v>1093</v>
      </c>
      <c r="B10" s="335">
        <v>244370</v>
      </c>
      <c r="C10" s="341"/>
      <c r="D10" s="339" t="s">
        <v>1094</v>
      </c>
      <c r="E10" s="335">
        <f>'(43) R&amp;P New Annex.'!D24+'(43) R&amp;P New Annex.'!D25</f>
        <v>49258751</v>
      </c>
      <c r="F10" s="335"/>
    </row>
    <row r="11" spans="1:8">
      <c r="A11" s="343" t="s">
        <v>1095</v>
      </c>
      <c r="B11" s="335"/>
      <c r="C11" s="341"/>
      <c r="D11" s="334"/>
      <c r="E11" s="335"/>
      <c r="F11" s="335"/>
    </row>
    <row r="12" spans="1:8" ht="15" customHeight="1">
      <c r="A12" s="343" t="s">
        <v>1096</v>
      </c>
      <c r="B12" s="341">
        <v>42100000</v>
      </c>
      <c r="C12" s="335"/>
      <c r="D12" s="337" t="s">
        <v>1097</v>
      </c>
      <c r="E12" s="344"/>
      <c r="F12" s="338"/>
      <c r="G12" s="325"/>
      <c r="H12" s="345"/>
    </row>
    <row r="13" spans="1:8">
      <c r="A13" s="343" t="s">
        <v>1098</v>
      </c>
      <c r="B13" s="340"/>
      <c r="C13" s="341"/>
      <c r="D13" s="334" t="s">
        <v>1099</v>
      </c>
      <c r="E13" s="335"/>
      <c r="F13" s="335"/>
    </row>
    <row r="14" spans="1:8">
      <c r="A14" s="339" t="s">
        <v>1100</v>
      </c>
      <c r="B14" s="335"/>
      <c r="C14" s="341"/>
      <c r="D14" s="339"/>
      <c r="E14" s="335"/>
      <c r="F14" s="335"/>
    </row>
    <row r="15" spans="1:8">
      <c r="A15" s="339"/>
      <c r="B15" s="335"/>
      <c r="C15" s="341"/>
      <c r="D15" s="339"/>
      <c r="E15" s="335"/>
      <c r="F15" s="335"/>
    </row>
    <row r="16" spans="1:8">
      <c r="A16" s="334" t="s">
        <v>1101</v>
      </c>
      <c r="B16" s="335"/>
      <c r="C16" s="341"/>
      <c r="D16" s="334" t="s">
        <v>1102</v>
      </c>
      <c r="E16" s="342"/>
      <c r="F16" s="342"/>
      <c r="H16" s="325"/>
    </row>
    <row r="17" spans="1:9">
      <c r="A17" s="346" t="s">
        <v>1103</v>
      </c>
      <c r="B17" s="340">
        <f>'(43) R&amp;P New Annex.'!B30+'(43) R&amp;P New Annex.'!B31</f>
        <v>553666384</v>
      </c>
      <c r="C17" s="341"/>
      <c r="D17" s="343" t="s">
        <v>1104</v>
      </c>
      <c r="E17" s="338"/>
      <c r="F17" s="338"/>
      <c r="H17" s="325"/>
    </row>
    <row r="18" spans="1:9">
      <c r="A18" s="346" t="s">
        <v>1105</v>
      </c>
      <c r="B18" s="335"/>
      <c r="C18" s="341"/>
      <c r="D18" s="343"/>
      <c r="E18" s="338"/>
      <c r="F18" s="338"/>
      <c r="H18" s="325"/>
    </row>
    <row r="19" spans="1:9">
      <c r="A19" s="346"/>
      <c r="B19" s="335"/>
      <c r="C19" s="341"/>
      <c r="E19" s="338"/>
      <c r="F19" s="338"/>
    </row>
    <row r="20" spans="1:9">
      <c r="A20" s="347"/>
      <c r="B20" s="335"/>
      <c r="C20" s="341"/>
      <c r="D20" s="347"/>
      <c r="E20" s="338"/>
      <c r="F20" s="338"/>
    </row>
    <row r="21" spans="1:9">
      <c r="A21" s="334" t="s">
        <v>1106</v>
      </c>
      <c r="B21" s="335"/>
      <c r="C21" s="341"/>
      <c r="D21" s="347"/>
      <c r="E21" s="338"/>
      <c r="F21" s="338"/>
    </row>
    <row r="22" spans="1:9">
      <c r="A22" s="339"/>
      <c r="B22" s="335"/>
      <c r="C22" s="341"/>
      <c r="D22" s="334" t="s">
        <v>1107</v>
      </c>
      <c r="E22" s="338"/>
      <c r="F22" s="338"/>
    </row>
    <row r="23" spans="1:9">
      <c r="A23" s="334" t="s">
        <v>1108</v>
      </c>
      <c r="B23" s="335"/>
      <c r="C23" s="341"/>
      <c r="D23" s="334" t="s">
        <v>1109</v>
      </c>
      <c r="E23" s="338"/>
      <c r="F23" s="338"/>
    </row>
    <row r="24" spans="1:9">
      <c r="A24" s="343" t="s">
        <v>1110</v>
      </c>
      <c r="B24" s="335"/>
      <c r="C24" s="341"/>
      <c r="D24" s="339" t="s">
        <v>1111</v>
      </c>
      <c r="E24" s="344">
        <f>'(43) R&amp;P New Annex.'!D40+'(43) R&amp;P New Annex.'!D41</f>
        <v>25927503</v>
      </c>
      <c r="F24" s="338"/>
      <c r="H24" s="325"/>
    </row>
    <row r="25" spans="1:9">
      <c r="A25" s="343" t="s">
        <v>1112</v>
      </c>
      <c r="B25" s="335"/>
      <c r="C25" s="341"/>
      <c r="D25" s="339" t="s">
        <v>1113</v>
      </c>
      <c r="E25" s="338"/>
      <c r="F25" s="338"/>
      <c r="I25" s="345"/>
    </row>
    <row r="26" spans="1:9">
      <c r="A26" s="343"/>
      <c r="B26" s="335"/>
      <c r="C26" s="341"/>
      <c r="D26" s="348"/>
      <c r="E26" s="348"/>
      <c r="F26" s="338"/>
      <c r="H26" s="324" t="s">
        <v>838</v>
      </c>
      <c r="I26" s="345"/>
    </row>
    <row r="27" spans="1:9">
      <c r="A27" s="334" t="s">
        <v>1114</v>
      </c>
      <c r="B27" s="335"/>
      <c r="C27" s="341"/>
      <c r="D27" s="347"/>
      <c r="E27" s="338"/>
      <c r="F27" s="338"/>
      <c r="I27" s="325"/>
    </row>
    <row r="28" spans="1:9" ht="25.5">
      <c r="A28" s="343" t="s">
        <v>1115</v>
      </c>
      <c r="B28" s="335">
        <f>'(43) R&amp;P New Annex.'!B45</f>
        <v>210309</v>
      </c>
      <c r="C28" s="341"/>
      <c r="D28" s="337" t="s">
        <v>1116</v>
      </c>
      <c r="E28" s="344">
        <f>'(43) R&amp;P New Annex.'!D45+'(43) R&amp;P New Annex.'!D46</f>
        <v>18603282</v>
      </c>
      <c r="F28" s="338"/>
      <c r="H28" s="325"/>
      <c r="I28" s="345"/>
    </row>
    <row r="29" spans="1:9">
      <c r="A29" s="343" t="s">
        <v>1117</v>
      </c>
      <c r="B29" s="335">
        <f>'(43) R&amp;P New Annex.'!B46</f>
        <v>333119</v>
      </c>
      <c r="C29" s="341"/>
      <c r="D29" s="337"/>
      <c r="E29" s="335"/>
      <c r="F29" s="335"/>
      <c r="H29" s="325"/>
    </row>
    <row r="30" spans="1:9" ht="25.5">
      <c r="A30" s="343"/>
      <c r="B30" s="335"/>
      <c r="C30" s="341"/>
      <c r="D30" s="337" t="s">
        <v>1118</v>
      </c>
      <c r="E30" s="335"/>
      <c r="F30" s="335"/>
    </row>
    <row r="31" spans="1:9">
      <c r="A31" s="343"/>
      <c r="B31" s="335"/>
      <c r="C31" s="341"/>
      <c r="D31" s="334"/>
      <c r="E31" s="335"/>
      <c r="F31" s="335"/>
    </row>
    <row r="32" spans="1:9">
      <c r="A32" s="334" t="s">
        <v>1119</v>
      </c>
      <c r="B32" s="335">
        <v>234735964</v>
      </c>
      <c r="C32" s="341"/>
      <c r="D32" s="334" t="s">
        <v>1120</v>
      </c>
      <c r="E32" s="338">
        <v>204955281</v>
      </c>
      <c r="F32" s="338"/>
    </row>
    <row r="33" spans="1:8">
      <c r="A33" s="339"/>
      <c r="B33" s="335"/>
      <c r="C33" s="341"/>
      <c r="D33" s="347"/>
      <c r="E33" s="338"/>
      <c r="F33" s="338"/>
    </row>
    <row r="34" spans="1:8">
      <c r="A34" s="334" t="s">
        <v>1121</v>
      </c>
      <c r="B34" s="349">
        <v>12926015</v>
      </c>
      <c r="C34" s="341"/>
      <c r="D34" s="334" t="s">
        <v>1122</v>
      </c>
      <c r="E34" s="344">
        <f>'(43) R&amp;P New Annex.'!D70+'(43) R&amp;P New Annex.'!D71</f>
        <v>5446445</v>
      </c>
      <c r="F34" s="338"/>
    </row>
    <row r="35" spans="1:8">
      <c r="A35" s="339"/>
      <c r="B35" s="335"/>
      <c r="C35" s="341"/>
      <c r="D35" s="339"/>
      <c r="E35" s="338"/>
      <c r="F35" s="338"/>
    </row>
    <row r="36" spans="1:8">
      <c r="A36" s="334" t="s">
        <v>1123</v>
      </c>
      <c r="B36" s="335"/>
      <c r="C36" s="341"/>
      <c r="D36" s="334" t="s">
        <v>1124</v>
      </c>
      <c r="E36" s="338"/>
      <c r="F36" s="338"/>
    </row>
    <row r="37" spans="1:8">
      <c r="A37" s="339"/>
      <c r="B37" s="335"/>
      <c r="C37" s="341"/>
      <c r="D37" s="339" t="s">
        <v>1125</v>
      </c>
      <c r="E37" s="338">
        <v>255000</v>
      </c>
      <c r="F37" s="338"/>
      <c r="H37" s="325"/>
    </row>
    <row r="38" spans="1:8" ht="12" customHeight="1">
      <c r="A38" s="334" t="s">
        <v>1126</v>
      </c>
      <c r="B38" s="335">
        <v>5800000</v>
      </c>
      <c r="C38" s="341"/>
      <c r="D38" s="339" t="s">
        <v>1127</v>
      </c>
      <c r="E38" s="338"/>
      <c r="F38" s="338"/>
      <c r="H38" s="325"/>
    </row>
    <row r="39" spans="1:8" hidden="1">
      <c r="A39" s="339"/>
      <c r="B39" s="335"/>
      <c r="C39" s="338"/>
      <c r="D39" s="339"/>
      <c r="E39" s="335"/>
      <c r="F39" s="335"/>
      <c r="H39" s="325"/>
    </row>
    <row r="40" spans="1:8">
      <c r="A40" s="347"/>
      <c r="B40" s="335"/>
      <c r="C40" s="342"/>
      <c r="D40" s="343" t="s">
        <v>1093</v>
      </c>
      <c r="E40" s="335">
        <v>242018</v>
      </c>
      <c r="F40" s="335"/>
      <c r="H40" s="325"/>
    </row>
    <row r="41" spans="1:8">
      <c r="A41" s="347"/>
      <c r="B41" s="335"/>
      <c r="C41" s="342"/>
      <c r="D41" s="343" t="s">
        <v>1095</v>
      </c>
      <c r="E41" s="335"/>
      <c r="F41" s="335"/>
      <c r="H41" s="325"/>
    </row>
    <row r="42" spans="1:8" ht="15.75">
      <c r="A42" s="347"/>
      <c r="B42" s="350"/>
      <c r="C42" s="342"/>
      <c r="D42" s="343" t="s">
        <v>1096</v>
      </c>
      <c r="E42" s="335">
        <v>72700000</v>
      </c>
      <c r="F42" s="335"/>
      <c r="H42" s="325"/>
    </row>
    <row r="43" spans="1:8" ht="12.75" customHeight="1">
      <c r="A43" s="339"/>
      <c r="B43" s="335"/>
      <c r="C43" s="338"/>
      <c r="D43" s="343" t="s">
        <v>1098</v>
      </c>
      <c r="E43" s="335">
        <v>1956326</v>
      </c>
      <c r="F43" s="335"/>
      <c r="H43" s="325"/>
    </row>
    <row r="44" spans="1:8" ht="10.5" customHeight="1">
      <c r="A44" s="339"/>
      <c r="B44" s="335"/>
      <c r="C44" s="338"/>
      <c r="D44" s="339" t="s">
        <v>1128</v>
      </c>
      <c r="E44" s="335"/>
      <c r="F44" s="335"/>
      <c r="H44" s="325"/>
    </row>
    <row r="45" spans="1:8">
      <c r="A45" s="339"/>
      <c r="B45" s="335"/>
      <c r="C45" s="338"/>
      <c r="D45" s="339"/>
      <c r="E45" s="349"/>
      <c r="F45" s="335"/>
    </row>
    <row r="46" spans="1:8">
      <c r="A46" s="351" t="s">
        <v>12</v>
      </c>
      <c r="B46" s="338">
        <f>SUM(B8:B45)</f>
        <v>850271161</v>
      </c>
      <c r="C46" s="338"/>
      <c r="D46" s="351" t="s">
        <v>12</v>
      </c>
      <c r="E46" s="338">
        <f>SUM(E8:E45)</f>
        <v>850271161</v>
      </c>
      <c r="F46" s="338"/>
    </row>
    <row r="47" spans="1:8" s="1242" customFormat="1">
      <c r="A47" s="1256"/>
      <c r="B47" s="1257"/>
      <c r="C47" s="1257"/>
      <c r="D47" s="1256"/>
      <c r="E47" s="1257"/>
      <c r="F47" s="1257"/>
    </row>
    <row r="48" spans="1:8">
      <c r="A48" s="352"/>
      <c r="B48" s="353"/>
      <c r="C48" s="352"/>
      <c r="D48" s="352"/>
      <c r="E48" s="353"/>
      <c r="F48" s="352"/>
    </row>
    <row r="49" spans="1:7" ht="16.5" customHeight="1">
      <c r="A49" s="352"/>
      <c r="B49" s="353"/>
      <c r="C49" s="352"/>
      <c r="D49" s="1592" t="s">
        <v>20</v>
      </c>
      <c r="E49" s="1592"/>
      <c r="F49" s="1592"/>
    </row>
    <row r="50" spans="1:7">
      <c r="A50" s="286"/>
      <c r="B50" s="353"/>
      <c r="C50" s="352"/>
      <c r="D50" s="1333"/>
      <c r="E50" s="1333"/>
      <c r="F50" s="1333"/>
    </row>
    <row r="51" spans="1:7">
      <c r="A51" s="354"/>
      <c r="C51" s="325">
        <f>B46-E46</f>
        <v>0</v>
      </c>
      <c r="D51" s="345"/>
      <c r="F51" s="355"/>
      <c r="G51" s="325"/>
    </row>
    <row r="52" spans="1:7">
      <c r="A52" s="356"/>
      <c r="F52" s="355"/>
    </row>
    <row r="55" spans="1:7">
      <c r="D55" s="325"/>
    </row>
  </sheetData>
  <mergeCells count="6">
    <mergeCell ref="D50:F50"/>
    <mergeCell ref="A1:F1"/>
    <mergeCell ref="A2:F2"/>
    <mergeCell ref="A3:F3"/>
    <mergeCell ref="A4:F4"/>
    <mergeCell ref="D49:F49"/>
  </mergeCells>
  <printOptions horizontalCentered="1" verticalCentered="1"/>
  <pageMargins left="0" right="0" top="0" bottom="0" header="0.35433070866141703" footer="0.31496062992126"/>
  <pageSetup paperSize="9" scale="88"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107"/>
  <sheetViews>
    <sheetView view="pageBreakPreview" topLeftCell="A80" zoomScale="130" zoomScaleNormal="100" workbookViewId="0">
      <selection activeCell="D91" sqref="D91"/>
    </sheetView>
  </sheetViews>
  <sheetFormatPr defaultColWidth="39.28515625" defaultRowHeight="12.75"/>
  <cols>
    <col min="1" max="1" width="39.28515625" style="282" customWidth="1"/>
    <col min="2" max="2" width="13.28515625" style="283" customWidth="1"/>
    <col min="3" max="3" width="38.7109375" style="282" customWidth="1"/>
    <col min="4" max="4" width="13.42578125" style="283" customWidth="1"/>
    <col min="5" max="5" width="0.140625" style="282" customWidth="1"/>
    <col min="6" max="8" width="9.140625" style="282" customWidth="1"/>
    <col min="9" max="9" width="12.140625" style="282" customWidth="1"/>
    <col min="10" max="254" width="9.140625" style="282" customWidth="1"/>
    <col min="255" max="16384" width="39.28515625" style="282"/>
  </cols>
  <sheetData>
    <row r="1" spans="1:5">
      <c r="A1" s="284"/>
      <c r="B1" s="285"/>
      <c r="C1" s="1593" t="s">
        <v>1129</v>
      </c>
      <c r="D1" s="1593"/>
      <c r="E1" s="284"/>
    </row>
    <row r="2" spans="1:5" ht="15" customHeight="1">
      <c r="A2" s="1589" t="s">
        <v>43</v>
      </c>
      <c r="B2" s="1589"/>
      <c r="C2" s="1589"/>
      <c r="D2" s="1589"/>
      <c r="E2" s="1589"/>
    </row>
    <row r="3" spans="1:5">
      <c r="A3" s="1592" t="s">
        <v>1910</v>
      </c>
      <c r="B3" s="1592"/>
      <c r="C3" s="1592"/>
      <c r="D3" s="1592"/>
      <c r="E3" s="284"/>
    </row>
    <row r="4" spans="1:5">
      <c r="A4" s="1594" t="s">
        <v>1083</v>
      </c>
      <c r="B4" s="1594"/>
      <c r="C4" s="1594"/>
      <c r="D4" s="1594"/>
      <c r="E4" s="284"/>
    </row>
    <row r="5" spans="1:5">
      <c r="A5" s="1595" t="s">
        <v>1084</v>
      </c>
      <c r="B5" s="1595"/>
      <c r="C5" s="1595"/>
      <c r="D5" s="1595"/>
      <c r="E5" s="284"/>
    </row>
    <row r="6" spans="1:5">
      <c r="A6" s="288"/>
      <c r="B6" s="289"/>
      <c r="C6" s="290"/>
      <c r="D6" s="291" t="s">
        <v>3</v>
      </c>
      <c r="E6" s="284"/>
    </row>
    <row r="7" spans="1:5">
      <c r="A7" s="292" t="s">
        <v>1085</v>
      </c>
      <c r="B7" s="293" t="s">
        <v>6</v>
      </c>
      <c r="C7" s="294" t="s">
        <v>1086</v>
      </c>
      <c r="D7" s="293" t="s">
        <v>6</v>
      </c>
      <c r="E7" s="284"/>
    </row>
    <row r="8" spans="1:5">
      <c r="A8" s="295" t="s">
        <v>1130</v>
      </c>
      <c r="B8" s="296"/>
      <c r="C8" s="297" t="s">
        <v>1088</v>
      </c>
      <c r="D8" s="298"/>
      <c r="E8" s="284"/>
    </row>
    <row r="9" spans="1:5">
      <c r="A9" s="295" t="s">
        <v>1131</v>
      </c>
      <c r="B9" s="299">
        <v>255000</v>
      </c>
      <c r="C9" s="300"/>
      <c r="D9" s="301"/>
      <c r="E9" s="284"/>
    </row>
    <row r="10" spans="1:5">
      <c r="A10" s="295" t="s">
        <v>1091</v>
      </c>
      <c r="B10" s="302"/>
      <c r="C10" s="295" t="s">
        <v>1132</v>
      </c>
      <c r="D10" s="301"/>
      <c r="E10" s="284"/>
    </row>
    <row r="11" spans="1:5">
      <c r="A11" s="303" t="s">
        <v>1133</v>
      </c>
      <c r="B11" s="299">
        <v>244370</v>
      </c>
      <c r="C11" s="304" t="s">
        <v>1134</v>
      </c>
      <c r="D11" s="301"/>
      <c r="E11" s="284"/>
    </row>
    <row r="12" spans="1:5">
      <c r="A12" s="303" t="s">
        <v>1135</v>
      </c>
      <c r="B12" s="299"/>
      <c r="C12" s="305" t="s">
        <v>1136</v>
      </c>
      <c r="D12" s="301">
        <v>391274770</v>
      </c>
      <c r="E12" s="284"/>
    </row>
    <row r="13" spans="1:5">
      <c r="A13" s="1103" t="s">
        <v>1137</v>
      </c>
      <c r="B13" s="306">
        <v>42100000</v>
      </c>
      <c r="C13" s="305" t="s">
        <v>1138</v>
      </c>
      <c r="D13" s="301"/>
      <c r="E13" s="284"/>
    </row>
    <row r="14" spans="1:5">
      <c r="A14" s="1103" t="s">
        <v>1139</v>
      </c>
      <c r="B14" s="299"/>
      <c r="C14" s="304" t="s">
        <v>1140</v>
      </c>
      <c r="D14" s="301"/>
      <c r="E14" s="284"/>
    </row>
    <row r="15" spans="1:5">
      <c r="A15" s="307" t="s">
        <v>1141</v>
      </c>
      <c r="B15" s="299"/>
      <c r="C15" s="304"/>
      <c r="D15" s="301"/>
      <c r="E15" s="284"/>
    </row>
    <row r="16" spans="1:5">
      <c r="A16" s="303"/>
      <c r="B16" s="299"/>
      <c r="C16" s="308" t="s">
        <v>1092</v>
      </c>
      <c r="D16" s="301"/>
      <c r="E16" s="284"/>
    </row>
    <row r="17" spans="1:9">
      <c r="A17" s="303"/>
      <c r="B17" s="306"/>
      <c r="C17" s="304" t="s">
        <v>1134</v>
      </c>
      <c r="D17" s="301"/>
      <c r="E17" s="284"/>
    </row>
    <row r="18" spans="1:9" ht="15" customHeight="1">
      <c r="A18" s="303"/>
      <c r="B18" s="299"/>
      <c r="C18" s="305" t="s">
        <v>1136</v>
      </c>
      <c r="D18" s="301">
        <v>59000000</v>
      </c>
      <c r="E18" s="284"/>
    </row>
    <row r="19" spans="1:9" ht="15" customHeight="1">
      <c r="A19" s="303"/>
      <c r="B19" s="299"/>
      <c r="C19" s="305" t="s">
        <v>1138</v>
      </c>
      <c r="D19" s="301">
        <f>20651785-2676268</f>
        <v>17975517</v>
      </c>
      <c r="E19" s="284"/>
    </row>
    <row r="20" spans="1:9" ht="15" customHeight="1">
      <c r="A20" s="303"/>
      <c r="B20" s="299"/>
      <c r="C20" s="304" t="s">
        <v>1140</v>
      </c>
      <c r="D20" s="301"/>
      <c r="E20" s="284"/>
      <c r="I20" s="283"/>
    </row>
    <row r="21" spans="1:9" ht="15" customHeight="1">
      <c r="A21" s="307"/>
      <c r="B21" s="299"/>
      <c r="C21" s="304"/>
      <c r="D21" s="301"/>
      <c r="E21" s="284"/>
    </row>
    <row r="22" spans="1:9" ht="15" customHeight="1">
      <c r="A22" s="303"/>
      <c r="B22" s="299"/>
      <c r="C22" s="308" t="s">
        <v>1094</v>
      </c>
      <c r="D22" s="301"/>
      <c r="E22" s="284"/>
    </row>
    <row r="23" spans="1:9" ht="15" customHeight="1">
      <c r="A23" s="303"/>
      <c r="B23" s="299"/>
      <c r="C23" s="304" t="s">
        <v>1134</v>
      </c>
      <c r="D23" s="301"/>
      <c r="E23" s="284"/>
    </row>
    <row r="24" spans="1:9" ht="15" customHeight="1">
      <c r="A24" s="303"/>
      <c r="B24" s="299"/>
      <c r="C24" s="305" t="s">
        <v>1136</v>
      </c>
      <c r="D24" s="301">
        <f>56286254-7027503</f>
        <v>49258751</v>
      </c>
      <c r="E24" s="284"/>
    </row>
    <row r="25" spans="1:9" ht="15" customHeight="1">
      <c r="A25" s="303"/>
      <c r="B25" s="299"/>
      <c r="C25" s="305" t="s">
        <v>1138</v>
      </c>
      <c r="D25" s="301">
        <v>0</v>
      </c>
      <c r="E25" s="284"/>
    </row>
    <row r="26" spans="1:9" ht="15" customHeight="1">
      <c r="A26" s="303"/>
      <c r="B26" s="299"/>
      <c r="C26" s="304" t="s">
        <v>1140</v>
      </c>
      <c r="D26" s="301"/>
      <c r="E26" s="284"/>
    </row>
    <row r="27" spans="1:9">
      <c r="A27" s="303"/>
      <c r="B27" s="299"/>
      <c r="C27" s="300"/>
      <c r="D27" s="301"/>
      <c r="E27" s="284"/>
    </row>
    <row r="28" spans="1:9">
      <c r="A28" s="295" t="s">
        <v>1101</v>
      </c>
      <c r="B28" s="299"/>
      <c r="C28" s="297" t="s">
        <v>1142</v>
      </c>
      <c r="D28" s="301"/>
      <c r="E28" s="284"/>
    </row>
    <row r="29" spans="1:9">
      <c r="A29" s="305" t="s">
        <v>1143</v>
      </c>
      <c r="B29" s="309"/>
      <c r="C29" s="297" t="s">
        <v>1144</v>
      </c>
      <c r="D29" s="301"/>
      <c r="E29" s="284"/>
    </row>
    <row r="30" spans="1:9">
      <c r="A30" s="305" t="s">
        <v>1136</v>
      </c>
      <c r="B30" s="299">
        <v>529568154</v>
      </c>
      <c r="C30" s="297" t="s">
        <v>1145</v>
      </c>
      <c r="D30" s="301"/>
      <c r="E30" s="284"/>
    </row>
    <row r="31" spans="1:9">
      <c r="A31" s="305" t="s">
        <v>1138</v>
      </c>
      <c r="B31" s="299">
        <v>24098230</v>
      </c>
      <c r="C31" s="297"/>
      <c r="D31" s="301"/>
      <c r="E31" s="284"/>
    </row>
    <row r="32" spans="1:9">
      <c r="A32" s="300" t="s">
        <v>1146</v>
      </c>
      <c r="B32" s="299"/>
      <c r="C32" s="297"/>
      <c r="D32" s="301"/>
      <c r="E32" s="284"/>
    </row>
    <row r="33" spans="1:8">
      <c r="A33" s="300"/>
      <c r="B33" s="299"/>
      <c r="C33" s="310"/>
      <c r="D33" s="301"/>
      <c r="E33" s="284"/>
    </row>
    <row r="34" spans="1:8">
      <c r="A34" s="295" t="s">
        <v>1106</v>
      </c>
      <c r="B34" s="299"/>
      <c r="C34" s="295" t="s">
        <v>1102</v>
      </c>
      <c r="D34" s="301"/>
      <c r="E34" s="284"/>
    </row>
    <row r="35" spans="1:8">
      <c r="A35" s="300"/>
      <c r="B35" s="299"/>
      <c r="C35" s="303" t="s">
        <v>1104</v>
      </c>
      <c r="D35" s="311"/>
      <c r="E35" s="284"/>
    </row>
    <row r="36" spans="1:8">
      <c r="A36" s="305"/>
      <c r="B36" s="299"/>
      <c r="C36" s="303" t="s">
        <v>1147</v>
      </c>
      <c r="D36" s="298"/>
      <c r="E36" s="284"/>
    </row>
    <row r="37" spans="1:8">
      <c r="A37" s="300"/>
      <c r="B37" s="299"/>
      <c r="C37" s="305"/>
      <c r="D37" s="298"/>
      <c r="E37" s="284"/>
    </row>
    <row r="38" spans="1:8">
      <c r="A38" s="295" t="s">
        <v>1108</v>
      </c>
      <c r="B38" s="299"/>
      <c r="C38" s="295" t="s">
        <v>1107</v>
      </c>
      <c r="D38" s="298"/>
      <c r="E38" s="284"/>
    </row>
    <row r="39" spans="1:8">
      <c r="A39" s="303" t="s">
        <v>1110</v>
      </c>
      <c r="B39" s="299"/>
      <c r="C39" s="295" t="s">
        <v>1109</v>
      </c>
      <c r="D39" s="312"/>
      <c r="E39" s="284"/>
    </row>
    <row r="40" spans="1:8">
      <c r="A40" s="303" t="s">
        <v>1112</v>
      </c>
      <c r="B40" s="299"/>
      <c r="C40" s="303" t="s">
        <v>1148</v>
      </c>
      <c r="D40" s="298">
        <f>18900000-D41+7027503</f>
        <v>14611367</v>
      </c>
      <c r="E40" s="284"/>
    </row>
    <row r="41" spans="1:8">
      <c r="A41" s="300"/>
      <c r="B41" s="299"/>
      <c r="C41" s="313" t="s">
        <v>1149</v>
      </c>
      <c r="D41" s="298">
        <v>11316136</v>
      </c>
      <c r="E41" s="284"/>
      <c r="F41" s="314"/>
      <c r="G41" s="314"/>
      <c r="H41" s="314"/>
    </row>
    <row r="42" spans="1:8">
      <c r="A42" s="303"/>
      <c r="B42" s="299"/>
      <c r="C42" s="303" t="s">
        <v>1150</v>
      </c>
      <c r="D42" s="298"/>
      <c r="E42" s="315"/>
    </row>
    <row r="43" spans="1:8">
      <c r="A43" s="300"/>
      <c r="B43" s="299"/>
      <c r="C43" s="300"/>
      <c r="D43" s="298"/>
      <c r="E43" s="315"/>
    </row>
    <row r="44" spans="1:8" ht="25.5">
      <c r="A44" s="295" t="s">
        <v>1114</v>
      </c>
      <c r="B44" s="299"/>
      <c r="C44" s="297" t="s">
        <v>1151</v>
      </c>
      <c r="D44" s="298"/>
      <c r="E44" s="285"/>
    </row>
    <row r="45" spans="1:8">
      <c r="A45" s="303" t="s">
        <v>1115</v>
      </c>
      <c r="B45" s="299">
        <v>210309</v>
      </c>
      <c r="C45" s="303" t="s">
        <v>1152</v>
      </c>
      <c r="D45" s="298">
        <v>4015000</v>
      </c>
      <c r="E45" s="315"/>
    </row>
    <row r="46" spans="1:8">
      <c r="A46" s="303" t="s">
        <v>1117</v>
      </c>
      <c r="B46" s="299">
        <v>333119</v>
      </c>
      <c r="C46" s="303" t="s">
        <v>1153</v>
      </c>
      <c r="D46" s="298">
        <v>14588282</v>
      </c>
      <c r="E46" s="284"/>
    </row>
    <row r="47" spans="1:8">
      <c r="A47" s="300"/>
      <c r="B47" s="299"/>
      <c r="C47" s="305"/>
      <c r="D47" s="298"/>
      <c r="E47" s="284"/>
    </row>
    <row r="48" spans="1:8">
      <c r="A48" s="295" t="s">
        <v>1119</v>
      </c>
      <c r="B48" s="299"/>
      <c r="C48" s="295" t="s">
        <v>1154</v>
      </c>
      <c r="D48" s="298"/>
      <c r="E48" s="284"/>
    </row>
    <row r="49" spans="1:5">
      <c r="A49" s="307" t="s">
        <v>1155</v>
      </c>
      <c r="B49" s="299">
        <v>148762</v>
      </c>
      <c r="C49" s="307" t="s">
        <v>1155</v>
      </c>
      <c r="D49" s="298">
        <v>179900</v>
      </c>
      <c r="E49" s="284"/>
    </row>
    <row r="50" spans="1:5">
      <c r="A50" s="307" t="s">
        <v>1156</v>
      </c>
      <c r="B50" s="299">
        <v>2119986</v>
      </c>
      <c r="C50" s="307" t="s">
        <v>1157</v>
      </c>
      <c r="D50" s="298">
        <v>1785000</v>
      </c>
      <c r="E50" s="284"/>
    </row>
    <row r="51" spans="1:5">
      <c r="A51" s="307" t="s">
        <v>1158</v>
      </c>
      <c r="B51" s="299"/>
      <c r="C51" s="307" t="s">
        <v>1158</v>
      </c>
      <c r="D51" s="298"/>
      <c r="E51" s="284"/>
    </row>
    <row r="52" spans="1:5">
      <c r="A52" s="307" t="s">
        <v>1159</v>
      </c>
      <c r="B52" s="299"/>
      <c r="C52" s="307" t="s">
        <v>1159</v>
      </c>
      <c r="D52" s="298"/>
      <c r="E52" s="284"/>
    </row>
    <row r="53" spans="1:5">
      <c r="A53" s="307" t="s">
        <v>1160</v>
      </c>
      <c r="B53" s="299">
        <v>64912709</v>
      </c>
      <c r="C53" s="307" t="s">
        <v>1160</v>
      </c>
      <c r="D53" s="298">
        <v>57725199</v>
      </c>
      <c r="E53" s="284"/>
    </row>
    <row r="54" spans="1:5">
      <c r="A54" s="307" t="s">
        <v>1161</v>
      </c>
      <c r="B54" s="299">
        <v>10991259</v>
      </c>
      <c r="C54" s="307" t="s">
        <v>1161</v>
      </c>
      <c r="D54" s="298">
        <v>10967087</v>
      </c>
      <c r="E54" s="284"/>
    </row>
    <row r="55" spans="1:5">
      <c r="A55" s="307" t="s">
        <v>1162</v>
      </c>
      <c r="B55" s="299">
        <v>102282430</v>
      </c>
      <c r="C55" s="307" t="s">
        <v>1162</v>
      </c>
      <c r="D55" s="298">
        <v>101734340</v>
      </c>
      <c r="E55" s="284"/>
    </row>
    <row r="56" spans="1:5">
      <c r="A56" s="307" t="s">
        <v>1163</v>
      </c>
      <c r="B56" s="299">
        <v>3791080</v>
      </c>
      <c r="C56" s="307" t="s">
        <v>1163</v>
      </c>
      <c r="D56" s="298">
        <v>1552809</v>
      </c>
      <c r="E56" s="284"/>
    </row>
    <row r="57" spans="1:5">
      <c r="A57" s="307" t="s">
        <v>1164</v>
      </c>
      <c r="B57" s="299"/>
      <c r="C57" s="307" t="s">
        <v>1164</v>
      </c>
      <c r="D57" s="298"/>
      <c r="E57" s="284"/>
    </row>
    <row r="58" spans="1:5">
      <c r="A58" s="307" t="s">
        <v>1165</v>
      </c>
      <c r="B58" s="299"/>
      <c r="C58" s="307" t="s">
        <v>1166</v>
      </c>
      <c r="D58" s="298"/>
      <c r="E58" s="284"/>
    </row>
    <row r="59" spans="1:5" ht="12.75" customHeight="1">
      <c r="A59" s="307" t="s">
        <v>1167</v>
      </c>
      <c r="B59" s="299">
        <v>265950</v>
      </c>
      <c r="C59" s="307" t="s">
        <v>1167</v>
      </c>
      <c r="D59" s="298">
        <v>244235</v>
      </c>
      <c r="E59" s="284"/>
    </row>
    <row r="60" spans="1:5" ht="12" customHeight="1">
      <c r="A60" s="307" t="s">
        <v>1168</v>
      </c>
      <c r="B60" s="299"/>
      <c r="C60" s="307" t="s">
        <v>1168</v>
      </c>
      <c r="D60" s="298"/>
      <c r="E60" s="284"/>
    </row>
    <row r="61" spans="1:5" ht="12" customHeight="1">
      <c r="A61" s="307" t="s">
        <v>1169</v>
      </c>
      <c r="B61" s="299">
        <v>50223788</v>
      </c>
      <c r="C61" s="316" t="s">
        <v>1170</v>
      </c>
      <c r="D61" s="298"/>
      <c r="E61" s="284"/>
    </row>
    <row r="62" spans="1:5">
      <c r="A62" s="307"/>
      <c r="B62" s="299"/>
      <c r="C62" s="305" t="s">
        <v>1171</v>
      </c>
      <c r="D62" s="298">
        <v>1919724</v>
      </c>
      <c r="E62" s="284"/>
    </row>
    <row r="63" spans="1:5">
      <c r="A63" s="307"/>
      <c r="B63" s="299"/>
      <c r="C63" s="300" t="s">
        <v>1172</v>
      </c>
      <c r="D63" s="298">
        <v>28846987</v>
      </c>
      <c r="E63" s="284"/>
    </row>
    <row r="64" spans="1:5">
      <c r="A64" s="307"/>
      <c r="B64" s="299"/>
      <c r="C64" s="300" t="s">
        <v>1173</v>
      </c>
      <c r="D64" s="298"/>
      <c r="E64" s="284"/>
    </row>
    <row r="65" spans="1:5">
      <c r="A65" s="307"/>
      <c r="B65" s="299"/>
      <c r="C65" s="300" t="s">
        <v>1174</v>
      </c>
      <c r="D65" s="298"/>
      <c r="E65" s="284"/>
    </row>
    <row r="66" spans="1:5">
      <c r="A66" s="295" t="s">
        <v>1121</v>
      </c>
      <c r="B66" s="299"/>
      <c r="C66" s="295" t="s">
        <v>1175</v>
      </c>
      <c r="D66" s="298"/>
      <c r="E66" s="284"/>
    </row>
    <row r="67" spans="1:5">
      <c r="A67" s="307" t="s">
        <v>1176</v>
      </c>
      <c r="B67" s="299">
        <v>7596298</v>
      </c>
      <c r="C67" s="300"/>
      <c r="D67" s="298"/>
      <c r="E67" s="284"/>
    </row>
    <row r="68" spans="1:5">
      <c r="A68" s="307" t="s">
        <v>1177</v>
      </c>
      <c r="B68" s="299">
        <v>1767785</v>
      </c>
      <c r="C68" s="307" t="s">
        <v>1178</v>
      </c>
      <c r="D68" s="298"/>
      <c r="E68" s="284"/>
    </row>
    <row r="69" spans="1:5">
      <c r="A69" s="307" t="s">
        <v>1179</v>
      </c>
      <c r="B69" s="299">
        <v>70490</v>
      </c>
      <c r="C69" s="317" t="s">
        <v>586</v>
      </c>
      <c r="D69" s="298"/>
      <c r="E69" s="284"/>
    </row>
    <row r="70" spans="1:5">
      <c r="A70" s="307" t="s">
        <v>1180</v>
      </c>
      <c r="B70" s="299"/>
      <c r="C70" s="305" t="s">
        <v>1136</v>
      </c>
      <c r="D70" s="298">
        <v>2000000</v>
      </c>
      <c r="E70" s="284"/>
    </row>
    <row r="71" spans="1:5">
      <c r="A71" s="307" t="s">
        <v>1181</v>
      </c>
      <c r="B71" s="299"/>
      <c r="C71" s="305" t="s">
        <v>1138</v>
      </c>
      <c r="D71" s="298">
        <f>53238+3393207</f>
        <v>3446445</v>
      </c>
      <c r="E71" s="284"/>
    </row>
    <row r="72" spans="1:5">
      <c r="A72" s="307" t="s">
        <v>1182</v>
      </c>
      <c r="B72" s="299"/>
      <c r="C72" s="303" t="s">
        <v>1183</v>
      </c>
      <c r="D72" s="298"/>
      <c r="E72" s="284"/>
    </row>
    <row r="73" spans="1:5">
      <c r="A73" s="307" t="s">
        <v>1184</v>
      </c>
      <c r="B73" s="299">
        <f>3885943-394501</f>
        <v>3491442</v>
      </c>
      <c r="C73" s="300"/>
      <c r="D73" s="298"/>
      <c r="E73" s="284"/>
    </row>
    <row r="74" spans="1:5">
      <c r="A74" s="307"/>
      <c r="B74" s="299"/>
      <c r="C74" s="303" t="s">
        <v>1185</v>
      </c>
      <c r="D74" s="298"/>
      <c r="E74" s="284"/>
    </row>
    <row r="75" spans="1:5">
      <c r="A75" s="307"/>
      <c r="B75" s="299"/>
      <c r="C75" s="303" t="s">
        <v>1186</v>
      </c>
      <c r="D75" s="298"/>
      <c r="E75" s="284"/>
    </row>
    <row r="76" spans="1:5" ht="12" customHeight="1">
      <c r="A76" s="307"/>
      <c r="B76" s="299"/>
      <c r="C76" s="307" t="s">
        <v>1187</v>
      </c>
      <c r="D76" s="298"/>
      <c r="E76" s="284"/>
    </row>
    <row r="77" spans="1:5">
      <c r="A77" s="307"/>
      <c r="B77" s="299"/>
      <c r="C77" s="307"/>
      <c r="D77" s="298"/>
      <c r="E77" s="284"/>
    </row>
    <row r="78" spans="1:5">
      <c r="A78" s="295" t="s">
        <v>1123</v>
      </c>
      <c r="B78" s="299"/>
      <c r="C78" s="318" t="s">
        <v>1188</v>
      </c>
      <c r="D78" s="298"/>
      <c r="E78" s="284"/>
    </row>
    <row r="79" spans="1:5">
      <c r="A79" s="295"/>
      <c r="B79" s="299"/>
      <c r="C79" s="304" t="s">
        <v>1189</v>
      </c>
      <c r="D79" s="298"/>
      <c r="E79" s="284"/>
    </row>
    <row r="80" spans="1:5" ht="12.75" customHeight="1">
      <c r="A80" s="295"/>
      <c r="B80" s="299"/>
      <c r="C80" s="304" t="s">
        <v>1190</v>
      </c>
      <c r="D80" s="312"/>
      <c r="E80" s="284"/>
    </row>
    <row r="81" spans="1:5">
      <c r="A81" s="300"/>
      <c r="B81" s="299"/>
      <c r="C81" s="300" t="s">
        <v>1191</v>
      </c>
      <c r="D81" s="298">
        <v>2676268</v>
      </c>
      <c r="E81" s="284"/>
    </row>
    <row r="82" spans="1:5">
      <c r="A82" s="300"/>
      <c r="B82" s="299"/>
      <c r="C82" s="300"/>
      <c r="D82" s="298"/>
      <c r="E82" s="284"/>
    </row>
    <row r="83" spans="1:5">
      <c r="A83" s="300"/>
      <c r="B83" s="299"/>
      <c r="C83" s="297" t="s">
        <v>1192</v>
      </c>
      <c r="D83" s="298"/>
      <c r="E83" s="284"/>
    </row>
    <row r="84" spans="1:5">
      <c r="A84" s="300"/>
      <c r="B84" s="299"/>
      <c r="C84" s="300"/>
      <c r="D84" s="298"/>
      <c r="E84" s="284"/>
    </row>
    <row r="85" spans="1:5">
      <c r="A85" s="295" t="s">
        <v>1126</v>
      </c>
      <c r="B85" s="299"/>
      <c r="C85" s="295" t="s">
        <v>1193</v>
      </c>
      <c r="D85" s="298"/>
      <c r="E85" s="284"/>
    </row>
    <row r="86" spans="1:5" ht="12.75" customHeight="1">
      <c r="A86" s="1104" t="s">
        <v>1194</v>
      </c>
      <c r="B86" s="299">
        <v>5800000</v>
      </c>
      <c r="C86" s="307" t="s">
        <v>1195</v>
      </c>
      <c r="D86" s="298">
        <v>255000</v>
      </c>
      <c r="E86" s="284"/>
    </row>
    <row r="87" spans="1:5">
      <c r="A87" s="300"/>
      <c r="B87" s="299"/>
      <c r="C87" s="307" t="s">
        <v>1196</v>
      </c>
      <c r="D87" s="298"/>
      <c r="E87" s="284"/>
    </row>
    <row r="88" spans="1:5">
      <c r="A88" s="305"/>
      <c r="B88" s="299"/>
      <c r="C88" s="303" t="s">
        <v>1197</v>
      </c>
      <c r="D88" s="301">
        <v>242018</v>
      </c>
      <c r="E88" s="284"/>
    </row>
    <row r="89" spans="1:5">
      <c r="A89" s="305"/>
      <c r="B89" s="299"/>
      <c r="C89" s="303" t="s">
        <v>1198</v>
      </c>
      <c r="D89" s="301"/>
      <c r="E89" s="284"/>
    </row>
    <row r="90" spans="1:5" ht="12.75" customHeight="1">
      <c r="A90" s="307"/>
      <c r="B90" s="299"/>
      <c r="C90" s="1103" t="s">
        <v>1199</v>
      </c>
      <c r="D90" s="301">
        <v>72700000</v>
      </c>
      <c r="E90" s="284"/>
    </row>
    <row r="91" spans="1:5" ht="12" customHeight="1">
      <c r="A91" s="300"/>
      <c r="B91" s="299"/>
      <c r="C91" s="1103" t="s">
        <v>1200</v>
      </c>
      <c r="D91" s="301">
        <v>1956326</v>
      </c>
      <c r="E91" s="284"/>
    </row>
    <row r="92" spans="1:5" ht="13.5" customHeight="1">
      <c r="A92" s="307"/>
      <c r="B92" s="299"/>
      <c r="C92" s="307" t="s">
        <v>1201</v>
      </c>
      <c r="D92" s="319"/>
      <c r="E92" s="284"/>
    </row>
    <row r="93" spans="1:5">
      <c r="A93" s="307"/>
      <c r="B93" s="299"/>
      <c r="C93" s="307"/>
      <c r="D93" s="319"/>
      <c r="E93" s="284"/>
    </row>
    <row r="94" spans="1:5">
      <c r="A94" s="320" t="s">
        <v>12</v>
      </c>
      <c r="B94" s="298">
        <f>SUM(B9:B93)</f>
        <v>850271161</v>
      </c>
      <c r="C94" s="320" t="s">
        <v>12</v>
      </c>
      <c r="D94" s="298">
        <f>SUM(D9:D93)</f>
        <v>850271161</v>
      </c>
      <c r="E94" s="284"/>
    </row>
    <row r="95" spans="1:5" ht="16.5" customHeight="1">
      <c r="A95" s="305"/>
      <c r="B95" s="321"/>
      <c r="C95" s="305"/>
      <c r="D95" s="321"/>
      <c r="E95" s="284"/>
    </row>
    <row r="96" spans="1:5" ht="16.5" customHeight="1">
      <c r="A96" s="315"/>
      <c r="B96" s="285"/>
      <c r="C96" s="315"/>
      <c r="D96" s="285"/>
      <c r="E96" s="284"/>
    </row>
    <row r="97" spans="1:5" ht="16.5" customHeight="1">
      <c r="A97" s="315"/>
      <c r="B97" s="285"/>
      <c r="C97" s="315"/>
      <c r="D97" s="285"/>
      <c r="E97" s="284"/>
    </row>
    <row r="98" spans="1:5">
      <c r="A98" s="315"/>
      <c r="B98" s="285"/>
      <c r="C98" s="315"/>
      <c r="D98" s="285"/>
      <c r="E98" s="284"/>
    </row>
    <row r="99" spans="1:5">
      <c r="A99" s="287"/>
      <c r="B99" s="285"/>
      <c r="C99" s="1592" t="s">
        <v>20</v>
      </c>
      <c r="D99" s="1592"/>
      <c r="E99" s="284"/>
    </row>
    <row r="100" spans="1:5">
      <c r="A100" s="322"/>
      <c r="B100" s="285"/>
      <c r="C100" s="315"/>
      <c r="D100" s="285"/>
      <c r="E100" s="284"/>
    </row>
    <row r="101" spans="1:5">
      <c r="A101" s="323"/>
      <c r="B101" s="285"/>
      <c r="C101" s="284"/>
      <c r="D101" s="285"/>
      <c r="E101" s="284"/>
    </row>
    <row r="102" spans="1:5">
      <c r="A102" s="284"/>
      <c r="B102" s="285"/>
      <c r="C102" s="284"/>
      <c r="D102" s="285">
        <f>B94-D94</f>
        <v>0</v>
      </c>
      <c r="E102" s="284"/>
    </row>
    <row r="103" spans="1:5">
      <c r="A103" s="284"/>
      <c r="B103" s="285"/>
      <c r="C103" s="284"/>
      <c r="D103" s="285"/>
      <c r="E103" s="284"/>
    </row>
    <row r="104" spans="1:5">
      <c r="A104" s="284"/>
      <c r="B104" s="285"/>
      <c r="C104" s="285"/>
      <c r="D104" s="285"/>
      <c r="E104" s="284"/>
    </row>
    <row r="105" spans="1:5">
      <c r="A105" s="284"/>
      <c r="B105" s="285"/>
      <c r="C105" s="284"/>
      <c r="D105" s="285"/>
      <c r="E105" s="284"/>
    </row>
    <row r="106" spans="1:5">
      <c r="A106" s="284"/>
      <c r="B106" s="285"/>
      <c r="C106" s="284"/>
      <c r="D106" s="285"/>
      <c r="E106" s="284"/>
    </row>
    <row r="107" spans="1:5">
      <c r="A107" s="284"/>
      <c r="B107" s="285"/>
      <c r="C107" s="284"/>
      <c r="D107" s="285"/>
      <c r="E107" s="284"/>
    </row>
  </sheetData>
  <mergeCells count="6">
    <mergeCell ref="C99:D99"/>
    <mergeCell ref="C1:D1"/>
    <mergeCell ref="A2:E2"/>
    <mergeCell ref="A3:D3"/>
    <mergeCell ref="A4:D4"/>
    <mergeCell ref="A5:D5"/>
  </mergeCells>
  <printOptions horizontalCentered="1" verticalCentered="1"/>
  <pageMargins left="0" right="0" top="0" bottom="0" header="0.35433070866141703" footer="0.31496062992126"/>
  <pageSetup paperSize="9" scale="86" orientation="landscape" r:id="rId1"/>
  <headerFooter alignWithMargins="0"/>
  <rowBreaks count="2" manualBreakCount="2">
    <brk id="47" max="4" man="1"/>
    <brk id="99"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G63"/>
  <sheetViews>
    <sheetView view="pageBreakPreview" topLeftCell="A39" zoomScale="115" zoomScaleNormal="100" zoomScaleSheetLayoutView="115" workbookViewId="0">
      <selection activeCell="F48" sqref="F48"/>
    </sheetView>
  </sheetViews>
  <sheetFormatPr defaultColWidth="9" defaultRowHeight="12.75"/>
  <cols>
    <col min="1" max="1" width="8.28515625" customWidth="1"/>
    <col min="2" max="2" width="34" customWidth="1"/>
    <col min="3" max="3" width="18.140625" customWidth="1"/>
    <col min="4" max="4" width="11.85546875" customWidth="1"/>
    <col min="5" max="5" width="33.5703125" customWidth="1"/>
    <col min="6" max="6" width="17.28515625" customWidth="1"/>
    <col min="7" max="7" width="0.140625" customWidth="1"/>
  </cols>
  <sheetData>
    <row r="1" spans="1:7" ht="18.75">
      <c r="A1" s="1600" t="s">
        <v>1910</v>
      </c>
      <c r="B1" s="1600"/>
      <c r="C1" s="1600"/>
      <c r="D1" s="1600"/>
      <c r="E1" s="1600"/>
      <c r="F1" s="1600"/>
      <c r="G1" s="252"/>
    </row>
    <row r="2" spans="1:7" ht="18.75">
      <c r="A2" s="1600" t="s">
        <v>43</v>
      </c>
      <c r="B2" s="1600"/>
      <c r="C2" s="1600"/>
      <c r="D2" s="1600"/>
      <c r="E2" s="1600"/>
      <c r="F2" s="1600"/>
      <c r="G2" s="252"/>
    </row>
    <row r="3" spans="1:7" ht="24" customHeight="1">
      <c r="A3" s="1600" t="s">
        <v>1202</v>
      </c>
      <c r="B3" s="1600"/>
      <c r="C3" s="1600"/>
      <c r="D3" s="1600"/>
      <c r="E3" s="1600"/>
      <c r="F3" s="1600"/>
      <c r="G3" s="263"/>
    </row>
    <row r="4" spans="1:7" ht="23.25" customHeight="1">
      <c r="A4" s="252"/>
      <c r="B4" s="252"/>
      <c r="C4" s="252"/>
      <c r="D4" s="252"/>
      <c r="E4" s="1601" t="s">
        <v>3</v>
      </c>
      <c r="F4" s="1601"/>
      <c r="G4" s="263"/>
    </row>
    <row r="5" spans="1:7" ht="15.75">
      <c r="A5" s="1602" t="s">
        <v>1203</v>
      </c>
      <c r="B5" s="1602"/>
      <c r="C5" s="1602"/>
      <c r="D5" s="1602" t="s">
        <v>1204</v>
      </c>
      <c r="E5" s="1602"/>
      <c r="F5" s="1602"/>
      <c r="G5" s="263"/>
    </row>
    <row r="6" spans="1:7" ht="15.75">
      <c r="A6" s="264" t="s">
        <v>796</v>
      </c>
      <c r="B6" s="264" t="s">
        <v>680</v>
      </c>
      <c r="C6" s="264" t="s">
        <v>534</v>
      </c>
      <c r="D6" s="264" t="s">
        <v>1205</v>
      </c>
      <c r="E6" s="264" t="s">
        <v>680</v>
      </c>
      <c r="F6" s="264" t="s">
        <v>534</v>
      </c>
      <c r="G6" s="263"/>
    </row>
    <row r="7" spans="1:7" ht="15.75">
      <c r="A7" s="265"/>
      <c r="B7" s="266"/>
      <c r="C7" s="266"/>
      <c r="D7" s="265"/>
      <c r="E7" s="266"/>
      <c r="F7" s="266"/>
      <c r="G7" s="263"/>
    </row>
    <row r="8" spans="1:7" ht="15.75">
      <c r="A8" s="267">
        <v>1</v>
      </c>
      <c r="B8" s="268" t="s">
        <v>95</v>
      </c>
      <c r="C8" s="268"/>
      <c r="D8" s="267">
        <v>1</v>
      </c>
      <c r="E8" s="269" t="s">
        <v>1206</v>
      </c>
      <c r="F8" s="269">
        <f>'(46) Annex. B'!K56-'(46) Annex. B'!K29</f>
        <v>468850000</v>
      </c>
      <c r="G8" s="270"/>
    </row>
    <row r="9" spans="1:7" ht="15.75">
      <c r="A9" s="267"/>
      <c r="B9" s="266" t="s">
        <v>1207</v>
      </c>
      <c r="C9" s="271">
        <v>255000</v>
      </c>
      <c r="D9" s="267"/>
      <c r="E9" s="269"/>
      <c r="F9" s="269"/>
      <c r="G9" s="270"/>
    </row>
    <row r="10" spans="1:7" ht="15.75">
      <c r="A10" s="267"/>
      <c r="B10" s="266" t="s">
        <v>1208</v>
      </c>
      <c r="C10" s="271"/>
      <c r="D10" s="18"/>
      <c r="E10" s="18"/>
      <c r="F10" s="18"/>
      <c r="G10" s="270"/>
    </row>
    <row r="11" spans="1:7" ht="15.75">
      <c r="A11" s="267"/>
      <c r="B11" s="272" t="s">
        <v>1209</v>
      </c>
      <c r="C11" s="269">
        <v>244370</v>
      </c>
      <c r="D11" s="18"/>
      <c r="E11" s="18"/>
      <c r="F11" s="18"/>
      <c r="G11" s="270"/>
    </row>
    <row r="12" spans="1:7" ht="15.75">
      <c r="A12" s="267"/>
      <c r="B12" s="272" t="s">
        <v>1210</v>
      </c>
      <c r="C12" s="269">
        <v>0</v>
      </c>
      <c r="D12" s="273"/>
      <c r="E12" s="274"/>
      <c r="F12" s="275"/>
      <c r="G12" s="270"/>
    </row>
    <row r="13" spans="1:7" ht="15.75">
      <c r="A13" s="267"/>
      <c r="B13" s="272" t="s">
        <v>1211</v>
      </c>
      <c r="C13" s="269">
        <v>42100000</v>
      </c>
      <c r="D13" s="273"/>
      <c r="E13" s="274"/>
      <c r="F13" s="275"/>
      <c r="G13" s="270"/>
    </row>
    <row r="14" spans="1:7" ht="15.75">
      <c r="A14" s="267"/>
      <c r="B14" s="272" t="s">
        <v>1212</v>
      </c>
      <c r="C14" s="269">
        <v>0</v>
      </c>
      <c r="D14" s="273"/>
      <c r="E14" s="274"/>
      <c r="F14" s="275"/>
      <c r="G14" s="270"/>
    </row>
    <row r="15" spans="1:7" ht="15.75">
      <c r="A15" s="267"/>
      <c r="B15" s="268"/>
      <c r="C15" s="271"/>
      <c r="D15" s="18"/>
      <c r="E15" s="18"/>
      <c r="F15" s="269"/>
      <c r="G15" s="270"/>
    </row>
    <row r="16" spans="1:7" ht="15.75">
      <c r="A16" s="267">
        <v>2</v>
      </c>
      <c r="B16" s="268" t="s">
        <v>1213</v>
      </c>
      <c r="C16" s="271">
        <f>'(51) Annex. G'!D16</f>
        <v>553666384</v>
      </c>
      <c r="D16" s="1597" t="s">
        <v>1214</v>
      </c>
      <c r="E16" s="1598" t="s">
        <v>1215</v>
      </c>
      <c r="F16" s="1599">
        <f>'(47) Annex.C'!J24+'(47) Annex.C'!L24</f>
        <v>21483789</v>
      </c>
      <c r="G16" s="270"/>
    </row>
    <row r="17" spans="1:7" ht="15.75">
      <c r="A17" s="267"/>
      <c r="B17" s="268"/>
      <c r="C17" s="271"/>
      <c r="D17" s="1597"/>
      <c r="E17" s="1598"/>
      <c r="F17" s="1599"/>
      <c r="G17" s="270"/>
    </row>
    <row r="18" spans="1:7" ht="15.75">
      <c r="A18" s="267"/>
      <c r="B18" s="268"/>
      <c r="C18" s="271"/>
      <c r="D18" s="1597" t="s">
        <v>1216</v>
      </c>
      <c r="E18" s="1598" t="s">
        <v>1217</v>
      </c>
      <c r="F18" s="1599">
        <f>'(48) Annex.D'!H16</f>
        <v>24098230</v>
      </c>
      <c r="G18" s="270"/>
    </row>
    <row r="19" spans="1:7" ht="15.75">
      <c r="A19" s="267"/>
      <c r="B19" s="268"/>
      <c r="C19" s="271"/>
      <c r="D19" s="1597"/>
      <c r="E19" s="1598"/>
      <c r="F19" s="1599"/>
      <c r="G19" s="270"/>
    </row>
    <row r="20" spans="1:7" ht="15.75">
      <c r="A20" s="267"/>
      <c r="B20" s="268"/>
      <c r="C20" s="271"/>
      <c r="D20" s="81"/>
      <c r="E20" s="18"/>
      <c r="F20" s="18"/>
      <c r="G20" s="270"/>
    </row>
    <row r="21" spans="1:7" ht="15.75">
      <c r="A21" s="267">
        <v>3</v>
      </c>
      <c r="B21" s="268" t="s">
        <v>587</v>
      </c>
      <c r="C21" s="271">
        <f>'(51) Annex. G'!E26</f>
        <v>0</v>
      </c>
      <c r="D21" s="267">
        <v>3</v>
      </c>
      <c r="E21" s="269" t="s">
        <v>1218</v>
      </c>
      <c r="F21" s="269">
        <v>0</v>
      </c>
      <c r="G21" s="270"/>
    </row>
    <row r="22" spans="1:7" ht="15.75">
      <c r="A22" s="267"/>
      <c r="B22" s="268"/>
      <c r="C22" s="271"/>
      <c r="D22" s="267"/>
      <c r="E22" s="269"/>
      <c r="F22" s="269"/>
      <c r="G22" s="270"/>
    </row>
    <row r="23" spans="1:7" ht="15.75">
      <c r="A23" s="267">
        <v>4</v>
      </c>
      <c r="B23" s="268" t="s">
        <v>1219</v>
      </c>
      <c r="C23" s="271">
        <f>'(45) Annex. A'!C36-'(45) Annex. A'!C27-'(45) Annex. A'!C34</f>
        <v>13469443</v>
      </c>
      <c r="D23" s="267">
        <v>4</v>
      </c>
      <c r="E23" s="269" t="s">
        <v>1220</v>
      </c>
      <c r="F23" s="269">
        <f>'(51) Annex. G'!F32</f>
        <v>57725199</v>
      </c>
      <c r="G23" s="270"/>
    </row>
    <row r="24" spans="1:7" ht="15.75">
      <c r="A24" s="267"/>
      <c r="B24" s="268" t="s">
        <v>1221</v>
      </c>
      <c r="C24" s="271"/>
      <c r="D24" s="18"/>
      <c r="E24" s="269"/>
      <c r="F24" s="269"/>
      <c r="G24" s="270"/>
    </row>
    <row r="25" spans="1:7" ht="15.75">
      <c r="A25" s="267"/>
      <c r="B25" s="268"/>
      <c r="C25" s="271"/>
      <c r="D25" s="18"/>
      <c r="E25" s="18"/>
      <c r="F25" s="269"/>
      <c r="G25" s="270"/>
    </row>
    <row r="26" spans="1:7" ht="15.75">
      <c r="A26" s="267">
        <v>5</v>
      </c>
      <c r="B26" s="268" t="s">
        <v>1222</v>
      </c>
      <c r="C26" s="271">
        <f>'(51) Annex. G'!D37</f>
        <v>3791080</v>
      </c>
      <c r="D26" s="267">
        <v>5</v>
      </c>
      <c r="E26" s="269" t="s">
        <v>1223</v>
      </c>
      <c r="F26" s="269">
        <f>'(51) Annex. G'!F35+'(51) Annex. G'!F38+'(51) Annex. G'!F36+'(51) Annex. G'!G35</f>
        <v>31428840</v>
      </c>
      <c r="G26" s="270"/>
    </row>
    <row r="27" spans="1:7" ht="15.75">
      <c r="A27" s="267"/>
      <c r="B27" s="268"/>
      <c r="C27" s="271"/>
      <c r="D27" s="18"/>
      <c r="E27" s="18"/>
      <c r="F27" s="276"/>
      <c r="G27" s="270"/>
    </row>
    <row r="28" spans="1:7" ht="15.75">
      <c r="A28" s="267">
        <v>6</v>
      </c>
      <c r="B28" s="268" t="s">
        <v>1218</v>
      </c>
      <c r="C28" s="271">
        <f>'(51) Annex. G'!D30</f>
        <v>0</v>
      </c>
      <c r="D28" s="267">
        <v>6</v>
      </c>
      <c r="E28" s="269" t="s">
        <v>1224</v>
      </c>
      <c r="F28" s="269">
        <f>'(51) Annex. G'!F20</f>
        <v>1785000</v>
      </c>
      <c r="G28" s="270"/>
    </row>
    <row r="29" spans="1:7" ht="15.75">
      <c r="A29" s="267"/>
      <c r="B29" s="268"/>
      <c r="C29" s="271"/>
      <c r="D29" s="267"/>
      <c r="E29" s="269"/>
      <c r="F29" s="269"/>
      <c r="G29" s="270"/>
    </row>
    <row r="30" spans="1:7" ht="15.75">
      <c r="A30" s="267">
        <v>7</v>
      </c>
      <c r="B30" s="268" t="s">
        <v>1220</v>
      </c>
      <c r="C30" s="271">
        <f>'(51) Annex. G'!D32</f>
        <v>64912709</v>
      </c>
      <c r="D30" s="267">
        <v>7</v>
      </c>
      <c r="E30" s="269" t="s">
        <v>1225</v>
      </c>
      <c r="F30" s="269">
        <f>'(46) Annex. B'!K29</f>
        <v>37324770</v>
      </c>
      <c r="G30" s="270"/>
    </row>
    <row r="31" spans="1:7" ht="15.75">
      <c r="A31" s="267"/>
      <c r="B31" s="268"/>
      <c r="C31" s="271"/>
      <c r="D31" s="267"/>
      <c r="E31" s="269"/>
      <c r="F31" s="269"/>
      <c r="G31" s="270"/>
    </row>
    <row r="32" spans="1:7" ht="15.75">
      <c r="A32" s="267">
        <v>8</v>
      </c>
      <c r="B32" s="268" t="s">
        <v>1223</v>
      </c>
      <c r="C32" s="271">
        <f>'(51) Annex. G'!D35+'(51) Annex. G'!D36+'(51) Annex. G'!D38</f>
        <v>50638500</v>
      </c>
      <c r="D32" s="267">
        <v>8</v>
      </c>
      <c r="E32" s="269" t="s">
        <v>1222</v>
      </c>
      <c r="F32" s="269">
        <f>'(51) Annex. G'!F37+'(51) Annex. G'!G37</f>
        <v>1314815</v>
      </c>
      <c r="G32" s="269">
        <v>0</v>
      </c>
    </row>
    <row r="33" spans="1:7" ht="15.75">
      <c r="A33" s="267"/>
      <c r="B33" s="268"/>
      <c r="C33" s="271"/>
      <c r="D33" s="267"/>
      <c r="E33" s="18"/>
      <c r="F33" s="269"/>
      <c r="G33" s="269">
        <v>0</v>
      </c>
    </row>
    <row r="34" spans="1:7" ht="15.75">
      <c r="A34" s="267">
        <v>9</v>
      </c>
      <c r="B34" s="268" t="s">
        <v>1224</v>
      </c>
      <c r="C34" s="271">
        <f>'(51) Annex. G'!D23+'(51) Annex. G'!D20</f>
        <v>7919986</v>
      </c>
      <c r="D34" s="267">
        <v>9</v>
      </c>
      <c r="E34" s="268" t="s">
        <v>1226</v>
      </c>
      <c r="F34" s="269">
        <v>0</v>
      </c>
      <c r="G34" s="270"/>
    </row>
    <row r="35" spans="1:7" ht="15.75">
      <c r="A35" s="267"/>
      <c r="B35" s="268"/>
      <c r="C35" s="271"/>
      <c r="D35" s="18"/>
      <c r="E35" s="18"/>
      <c r="F35" s="269"/>
      <c r="G35" s="270"/>
    </row>
    <row r="36" spans="1:7" ht="15.75">
      <c r="A36" s="267">
        <v>10</v>
      </c>
      <c r="B36" s="268" t="s">
        <v>1226</v>
      </c>
      <c r="C36" s="271">
        <v>0</v>
      </c>
      <c r="D36" s="267">
        <v>10</v>
      </c>
      <c r="E36" s="269" t="s">
        <v>1227</v>
      </c>
      <c r="F36" s="269">
        <f>'(51) Annex. G'!F40+'(51) Annex. G'!G40</f>
        <v>112701427</v>
      </c>
      <c r="G36" s="270"/>
    </row>
    <row r="37" spans="1:7" ht="15.75">
      <c r="A37" s="18"/>
      <c r="B37" s="18"/>
      <c r="C37" s="271"/>
      <c r="D37" s="267"/>
      <c r="E37" s="269"/>
      <c r="F37" s="269"/>
      <c r="G37" s="270"/>
    </row>
    <row r="38" spans="1:7" ht="15.75">
      <c r="A38" s="267">
        <v>11</v>
      </c>
      <c r="B38" s="268" t="s">
        <v>1227</v>
      </c>
      <c r="C38" s="271"/>
      <c r="D38" s="267">
        <v>11</v>
      </c>
      <c r="E38" s="269" t="s">
        <v>1228</v>
      </c>
      <c r="F38" s="269">
        <f>'(51) Annex. G'!G24</f>
        <v>18405747</v>
      </c>
      <c r="G38" s="270"/>
    </row>
    <row r="39" spans="1:7" ht="15.75">
      <c r="A39" s="267"/>
      <c r="B39" s="277" t="s">
        <v>1229</v>
      </c>
      <c r="C39" s="271">
        <f>'(51) Annex. G'!D40</f>
        <v>113273689</v>
      </c>
      <c r="D39" s="18"/>
      <c r="E39" s="18"/>
      <c r="F39" s="18"/>
      <c r="G39" s="270"/>
    </row>
    <row r="40" spans="1:7" ht="15.75">
      <c r="A40" s="267"/>
      <c r="B40" s="268"/>
      <c r="C40" s="271"/>
      <c r="D40" s="18"/>
      <c r="E40" s="18"/>
      <c r="F40" s="18"/>
      <c r="G40" s="270"/>
    </row>
    <row r="41" spans="1:7" ht="26.25">
      <c r="A41" s="273">
        <v>12</v>
      </c>
      <c r="B41" s="277" t="s">
        <v>1228</v>
      </c>
      <c r="C41" s="271"/>
      <c r="D41" s="273">
        <v>12</v>
      </c>
      <c r="E41" s="278" t="s">
        <v>1230</v>
      </c>
      <c r="F41" s="269">
        <v>0</v>
      </c>
      <c r="G41" s="270"/>
    </row>
    <row r="42" spans="1:7" ht="15.75">
      <c r="A42" s="267"/>
      <c r="B42" s="277" t="s">
        <v>1231</v>
      </c>
      <c r="C42" s="271"/>
      <c r="D42" s="18"/>
      <c r="E42" s="18"/>
      <c r="F42" s="18"/>
      <c r="G42" s="270"/>
    </row>
    <row r="43" spans="1:7" ht="15.75">
      <c r="A43" s="18"/>
      <c r="B43" s="18"/>
      <c r="C43" s="271"/>
      <c r="D43" s="267">
        <v>13</v>
      </c>
      <c r="E43" s="269" t="s">
        <v>101</v>
      </c>
      <c r="F43" s="269"/>
      <c r="G43" s="270"/>
    </row>
    <row r="44" spans="1:7" ht="15.75">
      <c r="A44" s="18"/>
      <c r="B44" s="18"/>
      <c r="C44" s="271"/>
      <c r="D44" s="267"/>
      <c r="E44" s="272" t="s">
        <v>1207</v>
      </c>
      <c r="F44" s="269">
        <v>255000</v>
      </c>
      <c r="G44" s="270"/>
    </row>
    <row r="45" spans="1:7" ht="15.75">
      <c r="A45" s="18"/>
      <c r="B45" s="18"/>
      <c r="C45" s="271"/>
      <c r="D45" s="267"/>
      <c r="E45" s="272" t="s">
        <v>1208</v>
      </c>
      <c r="F45" s="269"/>
      <c r="G45" s="270"/>
    </row>
    <row r="46" spans="1:7" ht="15.75">
      <c r="A46" s="18"/>
      <c r="B46" s="18"/>
      <c r="C46" s="271"/>
      <c r="D46" s="267"/>
      <c r="E46" s="272" t="s">
        <v>1209</v>
      </c>
      <c r="F46" s="269">
        <v>242018</v>
      </c>
      <c r="G46" s="270"/>
    </row>
    <row r="47" spans="1:7" ht="15.75">
      <c r="A47" s="18"/>
      <c r="B47" s="18"/>
      <c r="C47" s="271"/>
      <c r="D47" s="267"/>
      <c r="E47" s="272" t="s">
        <v>1210</v>
      </c>
      <c r="F47" s="269">
        <f>-'(51) Annex. G'!I44</f>
        <v>0</v>
      </c>
      <c r="G47" s="270"/>
    </row>
    <row r="48" spans="1:7" ht="15.75">
      <c r="A48" s="18"/>
      <c r="B48" s="18"/>
      <c r="C48" s="271"/>
      <c r="D48" s="267"/>
      <c r="E48" s="272" t="s">
        <v>1232</v>
      </c>
      <c r="F48" s="269">
        <v>1956326</v>
      </c>
      <c r="G48" s="270"/>
    </row>
    <row r="49" spans="1:7" ht="15.75">
      <c r="A49" s="18"/>
      <c r="B49" s="18"/>
      <c r="C49" s="271"/>
      <c r="D49" s="267"/>
      <c r="E49" s="272" t="s">
        <v>1211</v>
      </c>
      <c r="F49" s="269">
        <v>72700000</v>
      </c>
      <c r="G49" s="270"/>
    </row>
    <row r="50" spans="1:7" ht="15.75">
      <c r="A50" s="18"/>
      <c r="B50" s="18"/>
      <c r="C50" s="271"/>
      <c r="D50" s="267"/>
      <c r="E50" s="272" t="s">
        <v>1212</v>
      </c>
      <c r="F50" s="269">
        <v>0</v>
      </c>
      <c r="G50" s="270"/>
    </row>
    <row r="51" spans="1:7" ht="15.75">
      <c r="A51" s="267"/>
      <c r="B51" s="268"/>
      <c r="C51" s="271"/>
      <c r="D51" s="267"/>
      <c r="E51" s="269"/>
      <c r="F51" s="269"/>
      <c r="G51" s="270"/>
    </row>
    <row r="52" spans="1:7" ht="15.75">
      <c r="A52" s="279"/>
      <c r="B52" s="279" t="s">
        <v>12</v>
      </c>
      <c r="C52" s="280">
        <f>SUM(C9:C51)</f>
        <v>850271161</v>
      </c>
      <c r="D52" s="279"/>
      <c r="E52" s="281" t="s">
        <v>12</v>
      </c>
      <c r="F52" s="280">
        <f>SUM(F8:F51)</f>
        <v>850271161</v>
      </c>
      <c r="G52" s="270"/>
    </row>
    <row r="53" spans="1:7" ht="15.75" hidden="1">
      <c r="A53" s="266"/>
      <c r="B53" s="266"/>
      <c r="C53" s="266"/>
      <c r="D53" s="265"/>
      <c r="E53" s="272"/>
      <c r="F53" s="272"/>
      <c r="G53" s="270"/>
    </row>
    <row r="54" spans="1:7" ht="15.75" hidden="1">
      <c r="A54" s="266"/>
      <c r="B54" s="266"/>
      <c r="C54" s="266"/>
      <c r="D54" s="265"/>
      <c r="E54" s="272"/>
      <c r="F54" s="272"/>
      <c r="G54" s="270"/>
    </row>
    <row r="55" spans="1:7" ht="15.75">
      <c r="A55" s="1258"/>
      <c r="B55" s="1258"/>
      <c r="C55" s="1258"/>
      <c r="D55" s="1259"/>
      <c r="E55" s="1260"/>
      <c r="F55" s="1260"/>
      <c r="G55" s="270"/>
    </row>
    <row r="56" spans="1:7" ht="15.75">
      <c r="A56" s="263"/>
      <c r="B56" s="263"/>
      <c r="C56" s="270"/>
      <c r="D56" s="263"/>
      <c r="E56" s="270"/>
      <c r="F56" s="270"/>
      <c r="G56" s="270"/>
    </row>
    <row r="57" spans="1:7" ht="15.75">
      <c r="A57" s="1596" t="s">
        <v>20</v>
      </c>
      <c r="B57" s="1596"/>
      <c r="C57" s="1596"/>
      <c r="D57" s="1596"/>
      <c r="E57" s="1596"/>
      <c r="F57" s="1596"/>
      <c r="G57" s="270"/>
    </row>
    <row r="58" spans="1:7" ht="15.75">
      <c r="A58" s="263"/>
      <c r="B58" s="263"/>
      <c r="C58" s="263"/>
      <c r="D58" s="263"/>
      <c r="E58" s="270"/>
      <c r="F58" s="270"/>
      <c r="G58" s="270"/>
    </row>
    <row r="59" spans="1:7">
      <c r="E59" s="247"/>
      <c r="F59" s="247"/>
      <c r="G59" s="247"/>
    </row>
    <row r="60" spans="1:7">
      <c r="D60" s="247">
        <f>C52-F52</f>
        <v>0</v>
      </c>
      <c r="E60" s="247"/>
      <c r="F60" s="247"/>
      <c r="G60" s="247"/>
    </row>
    <row r="61" spans="1:7">
      <c r="C61" s="247"/>
      <c r="E61" s="247"/>
      <c r="F61" s="247"/>
      <c r="G61" s="247"/>
    </row>
    <row r="62" spans="1:7">
      <c r="E62" s="247"/>
      <c r="F62" s="247"/>
      <c r="G62" s="247"/>
    </row>
    <row r="63" spans="1:7">
      <c r="C63" s="247"/>
      <c r="E63" s="247"/>
      <c r="F63" s="247"/>
      <c r="G63" s="247"/>
    </row>
  </sheetData>
  <mergeCells count="13">
    <mergeCell ref="A1:F1"/>
    <mergeCell ref="A2:F2"/>
    <mergeCell ref="A3:F3"/>
    <mergeCell ref="E4:F4"/>
    <mergeCell ref="A5:C5"/>
    <mergeCell ref="D5:F5"/>
    <mergeCell ref="A57:F57"/>
    <mergeCell ref="D16:D17"/>
    <mergeCell ref="D18:D19"/>
    <mergeCell ref="E16:E17"/>
    <mergeCell ref="E18:E19"/>
    <mergeCell ref="F16:F17"/>
    <mergeCell ref="F18:F19"/>
  </mergeCells>
  <printOptions horizontalCentered="1" verticalCentered="1"/>
  <pageMargins left="0" right="0" top="0" bottom="0" header="0.35433070866141703" footer="0.31496062992126"/>
  <pageSetup paperSize="9" scale="64" orientation="landscape" r:id="rId1"/>
  <headerFooter alignWithMargins="0"/>
  <rowBreaks count="1" manualBreakCount="1">
    <brk id="57"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43"/>
  <sheetViews>
    <sheetView view="pageBreakPreview" topLeftCell="A16" zoomScaleNormal="100" workbookViewId="0">
      <selection activeCell="B37" sqref="B37"/>
    </sheetView>
  </sheetViews>
  <sheetFormatPr defaultColWidth="11" defaultRowHeight="15.75"/>
  <cols>
    <col min="1" max="1" width="8.140625" style="102" customWidth="1"/>
    <col min="2" max="2" width="62" style="102" customWidth="1"/>
    <col min="3" max="3" width="17.85546875" style="102" customWidth="1"/>
    <col min="4" max="4" width="14" style="102" customWidth="1"/>
    <col min="5" max="6" width="15.5703125" style="102" customWidth="1"/>
    <col min="7" max="7" width="11" style="102" customWidth="1"/>
    <col min="8" max="16384" width="11" style="102"/>
  </cols>
  <sheetData>
    <row r="1" spans="1:7">
      <c r="C1" s="132" t="s">
        <v>1233</v>
      </c>
    </row>
    <row r="2" spans="1:7" ht="16.5" customHeight="1">
      <c r="A2" s="1600" t="s">
        <v>1910</v>
      </c>
      <c r="B2" s="1600"/>
      <c r="C2" s="1600"/>
      <c r="D2" s="253"/>
      <c r="E2" s="253"/>
      <c r="F2" s="253"/>
      <c r="G2" s="254"/>
    </row>
    <row r="3" spans="1:7" ht="18.75">
      <c r="A3" s="1600" t="s">
        <v>43</v>
      </c>
      <c r="B3" s="1600"/>
      <c r="C3" s="1600"/>
      <c r="D3" s="253"/>
      <c r="E3" s="253"/>
      <c r="F3" s="253"/>
      <c r="G3" s="23"/>
    </row>
    <row r="4" spans="1:7">
      <c r="A4" s="1377" t="s">
        <v>1234</v>
      </c>
      <c r="B4" s="1377"/>
      <c r="C4" s="1377"/>
    </row>
    <row r="5" spans="1:7" ht="14.25" customHeight="1">
      <c r="C5" s="243" t="s">
        <v>1235</v>
      </c>
    </row>
    <row r="6" spans="1:7">
      <c r="A6" s="119" t="s">
        <v>1236</v>
      </c>
      <c r="B6" s="129" t="s">
        <v>1237</v>
      </c>
      <c r="C6" s="255" t="s">
        <v>1238</v>
      </c>
    </row>
    <row r="7" spans="1:7" ht="18" customHeight="1">
      <c r="A7" s="1105" t="s">
        <v>1072</v>
      </c>
      <c r="B7" s="111" t="s">
        <v>1239</v>
      </c>
      <c r="C7" s="112">
        <v>4995</v>
      </c>
    </row>
    <row r="8" spans="1:7">
      <c r="A8" s="1105" t="s">
        <v>1074</v>
      </c>
      <c r="B8" s="110" t="s">
        <v>1240</v>
      </c>
      <c r="C8" s="112">
        <v>6400</v>
      </c>
    </row>
    <row r="9" spans="1:7">
      <c r="A9" s="1105" t="s">
        <v>1241</v>
      </c>
      <c r="B9" s="111" t="s">
        <v>1242</v>
      </c>
      <c r="C9" s="112">
        <v>0</v>
      </c>
    </row>
    <row r="10" spans="1:7">
      <c r="A10" s="1105" t="s">
        <v>1243</v>
      </c>
      <c r="B10" s="110" t="s">
        <v>1244</v>
      </c>
      <c r="C10" s="112">
        <v>0</v>
      </c>
    </row>
    <row r="11" spans="1:7">
      <c r="A11" s="1105" t="s">
        <v>1245</v>
      </c>
      <c r="B11" s="111" t="s">
        <v>1246</v>
      </c>
      <c r="C11" s="112">
        <v>0</v>
      </c>
    </row>
    <row r="12" spans="1:7">
      <c r="A12" s="1105" t="s">
        <v>1247</v>
      </c>
      <c r="B12" s="110" t="s">
        <v>1248</v>
      </c>
      <c r="C12" s="112">
        <v>0</v>
      </c>
    </row>
    <row r="13" spans="1:7">
      <c r="A13" s="1105" t="s">
        <v>1249</v>
      </c>
      <c r="B13" s="111" t="s">
        <v>1250</v>
      </c>
      <c r="C13" s="112">
        <v>70490</v>
      </c>
    </row>
    <row r="14" spans="1:7">
      <c r="A14" s="1105" t="s">
        <v>1251</v>
      </c>
      <c r="B14" s="110" t="s">
        <v>1252</v>
      </c>
      <c r="C14" s="112">
        <f>1063752+704033</f>
        <v>1767785</v>
      </c>
    </row>
    <row r="15" spans="1:7">
      <c r="A15" s="1105" t="s">
        <v>1253</v>
      </c>
      <c r="B15" s="111" t="s">
        <v>1254</v>
      </c>
      <c r="C15" s="112">
        <v>333119</v>
      </c>
    </row>
    <row r="16" spans="1:7">
      <c r="A16" s="1105" t="s">
        <v>1255</v>
      </c>
      <c r="B16" s="110" t="s">
        <v>1256</v>
      </c>
      <c r="C16" s="112">
        <v>-1609</v>
      </c>
    </row>
    <row r="17" spans="1:4">
      <c r="A17" s="1105" t="s">
        <v>1257</v>
      </c>
      <c r="B17" s="111" t="s">
        <v>1258</v>
      </c>
      <c r="C17" s="112">
        <v>0</v>
      </c>
      <c r="D17" s="102">
        <f>SUM(D9:D16)</f>
        <v>0</v>
      </c>
    </row>
    <row r="18" spans="1:4">
      <c r="A18" s="1105" t="s">
        <v>1259</v>
      </c>
      <c r="B18" s="110" t="s">
        <v>1260</v>
      </c>
      <c r="C18" s="112">
        <v>4983093</v>
      </c>
    </row>
    <row r="19" spans="1:4">
      <c r="A19" s="1105" t="s">
        <v>1261</v>
      </c>
      <c r="B19" s="111" t="s">
        <v>1262</v>
      </c>
      <c r="C19" s="112">
        <v>0</v>
      </c>
    </row>
    <row r="20" spans="1:4">
      <c r="A20" s="1105" t="s">
        <v>1263</v>
      </c>
      <c r="B20" s="110" t="s">
        <v>1264</v>
      </c>
      <c r="C20" s="112">
        <v>0</v>
      </c>
    </row>
    <row r="21" spans="1:4">
      <c r="A21" s="1105" t="s">
        <v>1265</v>
      </c>
      <c r="B21" s="111" t="s">
        <v>1266</v>
      </c>
      <c r="C21" s="112">
        <v>0</v>
      </c>
    </row>
    <row r="22" spans="1:4">
      <c r="A22" s="1105" t="s">
        <v>1267</v>
      </c>
      <c r="B22" s="110" t="s">
        <v>1268</v>
      </c>
      <c r="C22" s="112">
        <v>0</v>
      </c>
    </row>
    <row r="23" spans="1:4">
      <c r="A23" s="1105" t="s">
        <v>1269</v>
      </c>
      <c r="B23" s="111" t="s">
        <v>1270</v>
      </c>
      <c r="C23" s="112"/>
    </row>
    <row r="24" spans="1:4">
      <c r="A24" s="256"/>
      <c r="B24" s="111" t="s">
        <v>1271</v>
      </c>
      <c r="C24" s="112">
        <v>0</v>
      </c>
    </row>
    <row r="25" spans="1:4">
      <c r="A25" s="256"/>
      <c r="B25" s="111" t="s">
        <v>1272</v>
      </c>
      <c r="C25" s="112">
        <v>0</v>
      </c>
    </row>
    <row r="26" spans="1:4">
      <c r="A26" s="1105" t="s">
        <v>1273</v>
      </c>
      <c r="B26" s="110" t="s">
        <v>1274</v>
      </c>
      <c r="C26" s="112">
        <v>210309</v>
      </c>
    </row>
    <row r="27" spans="1:4">
      <c r="A27" s="1105" t="s">
        <v>1275</v>
      </c>
      <c r="B27" s="111" t="s">
        <v>1276</v>
      </c>
      <c r="C27" s="112">
        <v>0</v>
      </c>
    </row>
    <row r="28" spans="1:4">
      <c r="A28" s="256"/>
      <c r="B28" s="257" t="s">
        <v>1277</v>
      </c>
      <c r="C28" s="258">
        <v>2601810</v>
      </c>
    </row>
    <row r="29" spans="1:4">
      <c r="A29" s="256"/>
      <c r="B29" s="259" t="s">
        <v>1278</v>
      </c>
      <c r="C29" s="258">
        <v>0</v>
      </c>
    </row>
    <row r="30" spans="1:4">
      <c r="A30" s="256"/>
      <c r="B30" s="257" t="s">
        <v>1279</v>
      </c>
      <c r="C30" s="258">
        <v>0</v>
      </c>
    </row>
    <row r="31" spans="1:4">
      <c r="A31" s="256"/>
      <c r="B31" s="259" t="s">
        <v>1280</v>
      </c>
      <c r="C31" s="258">
        <v>169680</v>
      </c>
    </row>
    <row r="32" spans="1:4">
      <c r="A32" s="256"/>
      <c r="B32" s="257" t="s">
        <v>1281</v>
      </c>
      <c r="C32" s="258">
        <v>0</v>
      </c>
    </row>
    <row r="33" spans="1:9">
      <c r="A33" s="1105" t="s">
        <v>1282</v>
      </c>
      <c r="B33" s="110" t="s">
        <v>1283</v>
      </c>
      <c r="C33" s="112">
        <v>0</v>
      </c>
    </row>
    <row r="34" spans="1:9">
      <c r="A34" s="1105" t="s">
        <v>1284</v>
      </c>
      <c r="B34" s="110" t="s">
        <v>1285</v>
      </c>
      <c r="C34" s="112">
        <v>2119986</v>
      </c>
    </row>
    <row r="35" spans="1:9">
      <c r="A35" s="1105" t="s">
        <v>1286</v>
      </c>
      <c r="B35" s="110" t="s">
        <v>1287</v>
      </c>
      <c r="C35" s="112">
        <f>2520052+35200+37200+420+1125000-394501</f>
        <v>3323371</v>
      </c>
    </row>
    <row r="36" spans="1:9" ht="18.75" customHeight="1">
      <c r="A36" s="260"/>
      <c r="B36" s="261" t="s">
        <v>1288</v>
      </c>
      <c r="C36" s="262">
        <f>SUM(C7:C35)</f>
        <v>15589429</v>
      </c>
      <c r="I36" s="138"/>
    </row>
    <row r="37" spans="1:9" ht="18.75" customHeight="1">
      <c r="A37" s="1261"/>
      <c r="B37" s="1262"/>
      <c r="C37" s="1263"/>
      <c r="I37" s="138"/>
    </row>
    <row r="38" spans="1:9" ht="12.75" customHeight="1">
      <c r="A38" s="1261"/>
      <c r="B38" s="1262"/>
      <c r="C38" s="1263"/>
      <c r="I38" s="138"/>
    </row>
    <row r="39" spans="1:9" ht="18.75" hidden="1" customHeight="1">
      <c r="A39" s="1261"/>
      <c r="B39" s="1262"/>
      <c r="C39" s="1263"/>
      <c r="I39" s="138"/>
    </row>
    <row r="40" spans="1:9" ht="7.5" customHeight="1"/>
    <row r="41" spans="1:9">
      <c r="C41" s="132" t="s">
        <v>1289</v>
      </c>
    </row>
    <row r="43" spans="1:9">
      <c r="C43" s="138">
        <f>C36-C34</f>
        <v>13469443</v>
      </c>
    </row>
  </sheetData>
  <mergeCells count="3">
    <mergeCell ref="A2:C2"/>
    <mergeCell ref="A3:C3"/>
    <mergeCell ref="A4:C4"/>
  </mergeCells>
  <printOptions horizontalCentered="1" verticalCentered="1"/>
  <pageMargins left="0" right="0" top="0" bottom="0" header="0.35433070866141703" footer="0.31496062992126"/>
  <pageSetup paperSize="9" scale="93"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N63"/>
  <sheetViews>
    <sheetView view="pageBreakPreview" topLeftCell="A26" zoomScale="95" zoomScaleNormal="70" workbookViewId="0">
      <selection activeCell="H62" sqref="H62"/>
    </sheetView>
  </sheetViews>
  <sheetFormatPr defaultColWidth="9" defaultRowHeight="12.75"/>
  <cols>
    <col min="1" max="1" width="9.140625" style="203"/>
    <col min="2" max="2" width="32.5703125" customWidth="1"/>
    <col min="3" max="3" width="18" customWidth="1"/>
    <col min="4" max="4" width="13.28515625" customWidth="1"/>
    <col min="5" max="5" width="17.42578125" customWidth="1"/>
    <col min="6" max="8" width="13.7109375" customWidth="1"/>
    <col min="9" max="9" width="16" customWidth="1"/>
    <col min="10" max="10" width="12.85546875" customWidth="1"/>
    <col min="11" max="11" width="15" customWidth="1"/>
    <col min="13" max="13" width="15" customWidth="1"/>
  </cols>
  <sheetData>
    <row r="1" spans="1:13" ht="21" customHeight="1">
      <c r="A1" s="1607" t="s">
        <v>1290</v>
      </c>
      <c r="B1" s="1607"/>
      <c r="C1" s="1607"/>
      <c r="D1" s="1607"/>
      <c r="E1" s="1607"/>
      <c r="F1" s="1607"/>
      <c r="G1" s="1607"/>
      <c r="H1" s="1607"/>
      <c r="I1" s="1607"/>
      <c r="J1" s="1607"/>
      <c r="K1" s="244"/>
    </row>
    <row r="2" spans="1:13" ht="17.25">
      <c r="A2" s="1608" t="s">
        <v>1910</v>
      </c>
      <c r="B2" s="1609"/>
      <c r="C2" s="1609"/>
      <c r="D2" s="1609"/>
      <c r="E2" s="1609"/>
      <c r="F2" s="1609"/>
      <c r="G2" s="1609"/>
      <c r="H2" s="1609"/>
      <c r="I2" s="1609"/>
      <c r="J2" s="19"/>
      <c r="K2" s="19"/>
    </row>
    <row r="3" spans="1:13" ht="17.25">
      <c r="A3" s="1608" t="s">
        <v>43</v>
      </c>
      <c r="B3" s="1609"/>
      <c r="C3" s="1609"/>
      <c r="D3" s="1609"/>
      <c r="E3" s="1609"/>
      <c r="F3" s="1609"/>
      <c r="G3" s="1609"/>
      <c r="H3" s="1609"/>
      <c r="I3" s="1609"/>
      <c r="J3" s="19"/>
      <c r="K3" s="19"/>
    </row>
    <row r="4" spans="1:13" ht="21" customHeight="1">
      <c r="A4" s="1610" t="s">
        <v>1291</v>
      </c>
      <c r="B4" s="1610"/>
      <c r="C4" s="1610"/>
      <c r="D4" s="1610"/>
      <c r="E4" s="1610"/>
      <c r="F4" s="1610"/>
      <c r="G4" s="1610"/>
      <c r="H4" s="1610"/>
      <c r="I4" s="1610"/>
      <c r="J4" s="1610"/>
      <c r="K4" s="245"/>
    </row>
    <row r="5" spans="1:13" ht="15">
      <c r="A5" s="204"/>
      <c r="B5" s="205"/>
      <c r="C5" s="205"/>
      <c r="D5" s="205"/>
      <c r="E5" s="205"/>
      <c r="F5" s="205"/>
      <c r="G5" s="205"/>
      <c r="H5" s="205"/>
      <c r="I5" s="243"/>
      <c r="J5" s="19"/>
      <c r="K5" s="243" t="s">
        <v>1292</v>
      </c>
    </row>
    <row r="6" spans="1:13" ht="150">
      <c r="A6" s="206" t="s">
        <v>1293</v>
      </c>
      <c r="B6" s="206" t="s">
        <v>710</v>
      </c>
      <c r="C6" s="206" t="s">
        <v>1294</v>
      </c>
      <c r="D6" s="206" t="s">
        <v>1295</v>
      </c>
      <c r="E6" s="206" t="s">
        <v>1296</v>
      </c>
      <c r="F6" s="1611" t="s">
        <v>1297</v>
      </c>
      <c r="G6" s="1612"/>
      <c r="H6" s="1612"/>
      <c r="I6" s="1613"/>
      <c r="J6" s="246" t="s">
        <v>1298</v>
      </c>
      <c r="K6" s="206" t="s">
        <v>1299</v>
      </c>
    </row>
    <row r="7" spans="1:13" ht="30" customHeight="1">
      <c r="A7" s="207">
        <v>1</v>
      </c>
      <c r="B7" s="207">
        <v>2</v>
      </c>
      <c r="C7" s="207">
        <v>3</v>
      </c>
      <c r="D7" s="207">
        <v>4</v>
      </c>
      <c r="E7" s="207" t="s">
        <v>1300</v>
      </c>
      <c r="F7" s="1603">
        <v>6</v>
      </c>
      <c r="G7" s="1604"/>
      <c r="H7" s="1604"/>
      <c r="I7" s="1605"/>
      <c r="J7" s="207">
        <v>7</v>
      </c>
      <c r="K7" s="207" t="s">
        <v>1301</v>
      </c>
    </row>
    <row r="8" spans="1:13" ht="30">
      <c r="A8" s="207"/>
      <c r="B8" s="208"/>
      <c r="C8" s="207"/>
      <c r="D8" s="207"/>
      <c r="E8" s="207"/>
      <c r="F8" s="207" t="s">
        <v>712</v>
      </c>
      <c r="G8" s="207" t="s">
        <v>713</v>
      </c>
      <c r="H8" s="207" t="s">
        <v>714</v>
      </c>
      <c r="I8" s="207" t="s">
        <v>1302</v>
      </c>
      <c r="J8" s="207"/>
      <c r="K8" s="207"/>
    </row>
    <row r="9" spans="1:13" ht="15">
      <c r="A9" s="208">
        <v>1</v>
      </c>
      <c r="B9" s="209" t="s">
        <v>63</v>
      </c>
      <c r="C9" s="209"/>
      <c r="D9" s="209"/>
      <c r="E9" s="209"/>
      <c r="F9" s="209"/>
      <c r="G9" s="209"/>
      <c r="H9" s="209"/>
      <c r="I9" s="209"/>
      <c r="J9" s="209"/>
      <c r="K9" s="209"/>
    </row>
    <row r="10" spans="1:13" ht="15">
      <c r="A10" s="210"/>
      <c r="B10" s="211" t="s">
        <v>1303</v>
      </c>
      <c r="C10" s="212">
        <v>0</v>
      </c>
      <c r="D10" s="212">
        <v>0</v>
      </c>
      <c r="E10" s="212">
        <f>SUM(C10:D10)</f>
        <v>0</v>
      </c>
      <c r="F10" s="212">
        <v>0</v>
      </c>
      <c r="G10" s="212">
        <v>0</v>
      </c>
      <c r="H10" s="212"/>
      <c r="I10" s="212">
        <v>0</v>
      </c>
      <c r="J10" s="212">
        <v>0</v>
      </c>
      <c r="K10" s="215">
        <f>+F10+J10</f>
        <v>0</v>
      </c>
    </row>
    <row r="11" spans="1:13" ht="15">
      <c r="A11" s="210"/>
      <c r="B11" s="213" t="s">
        <v>1304</v>
      </c>
      <c r="C11" s="213"/>
      <c r="D11" s="213"/>
      <c r="E11" s="213"/>
      <c r="F11" s="213"/>
      <c r="G11" s="213"/>
      <c r="H11" s="213"/>
      <c r="I11" s="213"/>
      <c r="J11" s="213"/>
      <c r="K11" s="213"/>
      <c r="M11" s="247"/>
    </row>
    <row r="12" spans="1:13" ht="15">
      <c r="A12" s="210"/>
      <c r="B12" s="211" t="s">
        <v>1305</v>
      </c>
      <c r="C12" s="212">
        <v>0</v>
      </c>
      <c r="D12" s="212">
        <v>0</v>
      </c>
      <c r="E12" s="212">
        <f t="shared" ref="E12:E21" si="0">SUM(C12:D12)</f>
        <v>0</v>
      </c>
      <c r="F12" s="212">
        <v>0</v>
      </c>
      <c r="G12" s="212">
        <v>0</v>
      </c>
      <c r="H12" s="212"/>
      <c r="I12" s="212">
        <v>0</v>
      </c>
      <c r="J12" s="212">
        <v>0</v>
      </c>
      <c r="K12" s="215">
        <f>+F12+J12</f>
        <v>0</v>
      </c>
    </row>
    <row r="13" spans="1:13" ht="14.25" customHeight="1">
      <c r="A13" s="210"/>
      <c r="B13" s="211" t="s">
        <v>1306</v>
      </c>
      <c r="C13" s="212">
        <v>0</v>
      </c>
      <c r="D13" s="212">
        <v>0</v>
      </c>
      <c r="E13" s="212">
        <f t="shared" si="0"/>
        <v>0</v>
      </c>
      <c r="F13" s="212">
        <v>0</v>
      </c>
      <c r="G13" s="212">
        <v>0</v>
      </c>
      <c r="H13" s="212"/>
      <c r="I13" s="212">
        <v>0</v>
      </c>
      <c r="J13" s="212">
        <v>0</v>
      </c>
      <c r="K13" s="215">
        <f>+F13+J13</f>
        <v>0</v>
      </c>
      <c r="M13" s="247"/>
    </row>
    <row r="14" spans="1:13" ht="18.75" customHeight="1">
      <c r="A14" s="210"/>
      <c r="B14" s="211" t="s">
        <v>1307</v>
      </c>
      <c r="C14" s="212">
        <v>1800000</v>
      </c>
      <c r="D14" s="212">
        <v>0</v>
      </c>
      <c r="E14" s="212">
        <f t="shared" si="0"/>
        <v>1800000</v>
      </c>
      <c r="F14" s="212">
        <v>0</v>
      </c>
      <c r="G14" s="212">
        <v>0</v>
      </c>
      <c r="H14" s="212"/>
      <c r="I14" s="212">
        <v>1795725</v>
      </c>
      <c r="J14" s="212">
        <v>0</v>
      </c>
      <c r="K14" s="215">
        <f>+F14+G14+I14</f>
        <v>1795725</v>
      </c>
      <c r="M14" s="247"/>
    </row>
    <row r="15" spans="1:13" ht="15" customHeight="1">
      <c r="A15" s="214">
        <v>2</v>
      </c>
      <c r="B15" s="211" t="s">
        <v>1308</v>
      </c>
      <c r="C15" s="212">
        <f>6600000+600000+1800000+3000000</f>
        <v>12000000</v>
      </c>
      <c r="D15" s="212">
        <v>0</v>
      </c>
      <c r="E15" s="212">
        <f t="shared" si="0"/>
        <v>12000000</v>
      </c>
      <c r="F15" s="215">
        <v>600000</v>
      </c>
      <c r="G15" s="215">
        <v>1800000</v>
      </c>
      <c r="H15" s="215">
        <v>3000000</v>
      </c>
      <c r="I15" s="215">
        <v>5816493</v>
      </c>
      <c r="J15" s="212">
        <v>0</v>
      </c>
      <c r="K15" s="215">
        <f>+F15+G15+I15+H15</f>
        <v>11216493</v>
      </c>
      <c r="M15" s="247"/>
    </row>
    <row r="16" spans="1:13" ht="13.5" customHeight="1">
      <c r="A16" s="214">
        <v>3</v>
      </c>
      <c r="B16" s="211" t="s">
        <v>1309</v>
      </c>
      <c r="C16" s="212">
        <v>1200000</v>
      </c>
      <c r="D16" s="212">
        <v>0</v>
      </c>
      <c r="E16" s="212">
        <f t="shared" si="0"/>
        <v>1200000</v>
      </c>
      <c r="F16" s="212">
        <v>0</v>
      </c>
      <c r="G16" s="212">
        <v>0</v>
      </c>
      <c r="H16" s="212"/>
      <c r="I16" s="212">
        <v>2032340</v>
      </c>
      <c r="J16" s="212">
        <v>0</v>
      </c>
      <c r="K16" s="215">
        <f t="shared" ref="K16:K21" si="1">+F16+G16+I16+H16</f>
        <v>2032340</v>
      </c>
      <c r="M16" s="247"/>
    </row>
    <row r="17" spans="1:14" ht="17.25" customHeight="1">
      <c r="A17" s="214">
        <v>4</v>
      </c>
      <c r="B17" s="211" t="s">
        <v>1310</v>
      </c>
      <c r="C17" s="212">
        <v>1000000</v>
      </c>
      <c r="D17" s="212">
        <f>SUM(D9:D16)</f>
        <v>0</v>
      </c>
      <c r="E17" s="212">
        <f t="shared" si="0"/>
        <v>1000000</v>
      </c>
      <c r="F17" s="212">
        <v>0</v>
      </c>
      <c r="G17" s="212">
        <v>0</v>
      </c>
      <c r="H17" s="212"/>
      <c r="I17" s="212">
        <v>1026646</v>
      </c>
      <c r="J17" s="212">
        <v>0</v>
      </c>
      <c r="K17" s="215">
        <f t="shared" si="1"/>
        <v>1026646</v>
      </c>
      <c r="M17" s="247"/>
    </row>
    <row r="18" spans="1:14" ht="14.25" customHeight="1">
      <c r="A18" s="214">
        <v>5</v>
      </c>
      <c r="B18" s="211" t="s">
        <v>1311</v>
      </c>
      <c r="C18" s="212">
        <v>2400000</v>
      </c>
      <c r="D18" s="212">
        <v>0</v>
      </c>
      <c r="E18" s="212">
        <f t="shared" si="0"/>
        <v>2400000</v>
      </c>
      <c r="F18" s="212">
        <v>0</v>
      </c>
      <c r="G18" s="212">
        <v>0</v>
      </c>
      <c r="H18" s="212"/>
      <c r="I18" s="212">
        <v>2332921</v>
      </c>
      <c r="J18" s="212">
        <v>0</v>
      </c>
      <c r="K18" s="215">
        <f t="shared" si="1"/>
        <v>2332921</v>
      </c>
      <c r="M18" s="247"/>
    </row>
    <row r="19" spans="1:14" ht="15.75" customHeight="1">
      <c r="A19" s="214">
        <v>6</v>
      </c>
      <c r="B19" s="211" t="s">
        <v>1312</v>
      </c>
      <c r="C19" s="212">
        <v>0</v>
      </c>
      <c r="D19" s="212">
        <v>0</v>
      </c>
      <c r="E19" s="212">
        <f t="shared" si="0"/>
        <v>0</v>
      </c>
      <c r="F19" s="212">
        <v>0</v>
      </c>
      <c r="G19" s="212">
        <v>0</v>
      </c>
      <c r="H19" s="212"/>
      <c r="I19" s="212">
        <v>0</v>
      </c>
      <c r="J19" s="212">
        <v>0</v>
      </c>
      <c r="K19" s="215">
        <f t="shared" si="1"/>
        <v>0</v>
      </c>
      <c r="M19" s="247"/>
    </row>
    <row r="20" spans="1:14" ht="15.75" customHeight="1">
      <c r="A20" s="214">
        <v>7</v>
      </c>
      <c r="B20" s="211" t="s">
        <v>1313</v>
      </c>
      <c r="C20" s="212">
        <v>500000</v>
      </c>
      <c r="D20" s="212">
        <v>0</v>
      </c>
      <c r="E20" s="212">
        <f t="shared" si="0"/>
        <v>500000</v>
      </c>
      <c r="F20" s="212">
        <v>0</v>
      </c>
      <c r="G20" s="212">
        <v>0</v>
      </c>
      <c r="H20" s="212"/>
      <c r="I20" s="212">
        <v>495875</v>
      </c>
      <c r="J20" s="212">
        <v>0</v>
      </c>
      <c r="K20" s="215">
        <f t="shared" si="1"/>
        <v>495875</v>
      </c>
      <c r="M20" s="247"/>
    </row>
    <row r="21" spans="1:14" ht="17.25" customHeight="1">
      <c r="A21" s="214">
        <v>8</v>
      </c>
      <c r="B21" s="211" t="s">
        <v>1035</v>
      </c>
      <c r="C21" s="212">
        <v>0</v>
      </c>
      <c r="D21" s="212">
        <v>0</v>
      </c>
      <c r="E21" s="212">
        <f t="shared" si="0"/>
        <v>0</v>
      </c>
      <c r="F21" s="212">
        <v>0</v>
      </c>
      <c r="G21" s="212">
        <v>0</v>
      </c>
      <c r="H21" s="212"/>
      <c r="I21" s="212">
        <v>0</v>
      </c>
      <c r="J21" s="212">
        <v>0</v>
      </c>
      <c r="K21" s="215">
        <f t="shared" si="1"/>
        <v>0</v>
      </c>
      <c r="M21" s="247"/>
    </row>
    <row r="22" spans="1:14" ht="45">
      <c r="A22" s="216"/>
      <c r="B22" s="217" t="s">
        <v>1314</v>
      </c>
      <c r="C22" s="218">
        <f>SUM(C10:C21)</f>
        <v>18900000</v>
      </c>
      <c r="D22" s="218">
        <f>SUM(D10:D21)</f>
        <v>0</v>
      </c>
      <c r="E22" s="218">
        <f>SUM(E10:E21)</f>
        <v>18900000</v>
      </c>
      <c r="F22" s="218">
        <f>SUM(F15:F21)</f>
        <v>600000</v>
      </c>
      <c r="G22" s="218">
        <f t="shared" ref="G22:H22" si="2">SUM(G15:G21)</f>
        <v>1800000</v>
      </c>
      <c r="H22" s="218">
        <f t="shared" si="2"/>
        <v>3000000</v>
      </c>
      <c r="I22" s="218">
        <f>SUM(I14:I21)</f>
        <v>13500000</v>
      </c>
      <c r="J22" s="218">
        <f>SUM(J15:J21)</f>
        <v>0</v>
      </c>
      <c r="K22" s="218">
        <f>SUM(K14:K21)</f>
        <v>18900000</v>
      </c>
      <c r="M22" s="247"/>
    </row>
    <row r="23" spans="1:14" ht="44.25" customHeight="1">
      <c r="A23" s="219"/>
      <c r="B23" s="220"/>
      <c r="C23" s="220"/>
      <c r="D23" s="220"/>
      <c r="E23" s="220"/>
      <c r="F23" s="221"/>
      <c r="G23" s="221"/>
      <c r="H23" s="221"/>
      <c r="I23" s="221"/>
      <c r="J23" s="221"/>
      <c r="K23" s="221"/>
      <c r="M23" s="247"/>
    </row>
    <row r="24" spans="1:14" ht="15">
      <c r="A24" s="222">
        <v>1</v>
      </c>
      <c r="B24" s="220" t="s">
        <v>1315</v>
      </c>
      <c r="C24" s="220"/>
      <c r="D24" s="220"/>
      <c r="E24" s="220"/>
      <c r="F24" s="221"/>
      <c r="G24" s="221"/>
      <c r="H24" s="221"/>
      <c r="I24" s="221"/>
      <c r="J24" s="221"/>
      <c r="K24" s="221"/>
    </row>
    <row r="25" spans="1:14" ht="15">
      <c r="A25" s="223"/>
      <c r="B25" s="224" t="s">
        <v>1316</v>
      </c>
      <c r="C25" s="225">
        <v>353950000</v>
      </c>
      <c r="D25" s="225">
        <v>0</v>
      </c>
      <c r="E25" s="212">
        <f>SUM(C25:D25)</f>
        <v>353950000</v>
      </c>
      <c r="F25" s="225">
        <v>0</v>
      </c>
      <c r="G25" s="225">
        <v>0</v>
      </c>
      <c r="H25" s="225"/>
      <c r="I25" s="225">
        <v>353950000</v>
      </c>
      <c r="J25" s="225">
        <v>0</v>
      </c>
      <c r="K25" s="215">
        <f>+F25+G25+I25</f>
        <v>353950000</v>
      </c>
    </row>
    <row r="26" spans="1:14" ht="13.5" customHeight="1">
      <c r="A26" s="223"/>
      <c r="B26" s="224" t="s">
        <v>1317</v>
      </c>
      <c r="C26" s="225">
        <v>0</v>
      </c>
      <c r="D26" s="225">
        <v>0</v>
      </c>
      <c r="E26" s="212">
        <f>SUM(C26:D26)</f>
        <v>0</v>
      </c>
      <c r="F26" s="225">
        <v>0</v>
      </c>
      <c r="G26" s="225">
        <v>0</v>
      </c>
      <c r="H26" s="225"/>
      <c r="I26" s="225">
        <v>0</v>
      </c>
      <c r="J26" s="225">
        <v>0</v>
      </c>
      <c r="K26" s="215">
        <f>+F26+J26</f>
        <v>0</v>
      </c>
      <c r="M26" s="247"/>
    </row>
    <row r="27" spans="1:14" ht="15">
      <c r="A27" s="223"/>
      <c r="B27" s="224" t="s">
        <v>1318</v>
      </c>
      <c r="C27" s="225">
        <v>0</v>
      </c>
      <c r="D27" s="225">
        <v>0</v>
      </c>
      <c r="E27" s="212">
        <f>SUM(C27:D27)</f>
        <v>0</v>
      </c>
      <c r="F27" s="225">
        <v>0</v>
      </c>
      <c r="G27" s="225">
        <v>0</v>
      </c>
      <c r="H27" s="225"/>
      <c r="I27" s="225">
        <v>0</v>
      </c>
      <c r="J27" s="225">
        <v>0</v>
      </c>
      <c r="K27" s="215">
        <f>+F27+J27</f>
        <v>0</v>
      </c>
      <c r="M27" s="247"/>
    </row>
    <row r="28" spans="1:14" ht="14.25" customHeight="1">
      <c r="A28" s="226"/>
      <c r="B28" s="227" t="s">
        <v>1319</v>
      </c>
      <c r="C28" s="228">
        <f t="shared" ref="C28:K28" si="3">SUM(C25:C27)</f>
        <v>353950000</v>
      </c>
      <c r="D28" s="228">
        <f t="shared" si="3"/>
        <v>0</v>
      </c>
      <c r="E28" s="228">
        <f t="shared" si="3"/>
        <v>353950000</v>
      </c>
      <c r="F28" s="228">
        <f t="shared" si="3"/>
        <v>0</v>
      </c>
      <c r="G28" s="228">
        <f t="shared" si="3"/>
        <v>0</v>
      </c>
      <c r="H28" s="228"/>
      <c r="I28" s="228">
        <f t="shared" si="3"/>
        <v>353950000</v>
      </c>
      <c r="J28" s="228">
        <f t="shared" si="3"/>
        <v>0</v>
      </c>
      <c r="K28" s="228">
        <f t="shared" si="3"/>
        <v>353950000</v>
      </c>
      <c r="M28" s="247"/>
    </row>
    <row r="29" spans="1:14" ht="30" customHeight="1">
      <c r="A29" s="222">
        <v>1</v>
      </c>
      <c r="B29" s="229" t="s">
        <v>1320</v>
      </c>
      <c r="C29" s="230">
        <v>37324770</v>
      </c>
      <c r="D29" s="225">
        <v>0</v>
      </c>
      <c r="E29" s="230">
        <f>SUM(C29:D29)</f>
        <v>37324770</v>
      </c>
      <c r="F29" s="225">
        <v>0</v>
      </c>
      <c r="G29" s="225">
        <v>0</v>
      </c>
      <c r="H29" s="225"/>
      <c r="I29" s="225">
        <v>37324770</v>
      </c>
      <c r="J29" s="225">
        <v>0</v>
      </c>
      <c r="K29" s="225">
        <f>+F29+G29+I29</f>
        <v>37324770</v>
      </c>
      <c r="M29" s="247"/>
    </row>
    <row r="30" spans="1:14" ht="29.25" customHeight="1">
      <c r="A30" s="222">
        <v>2</v>
      </c>
      <c r="B30" s="220" t="s">
        <v>1321</v>
      </c>
      <c r="C30" s="231"/>
      <c r="D30" s="231"/>
      <c r="E30" s="231"/>
      <c r="F30" s="221"/>
      <c r="G30" s="221"/>
      <c r="H30" s="221"/>
      <c r="I30" s="221"/>
      <c r="J30" s="221"/>
      <c r="K30" s="225">
        <f t="shared" ref="K30:K34" si="4">+F30+G30+I30</f>
        <v>0</v>
      </c>
      <c r="M30" s="248"/>
      <c r="N30" s="249"/>
    </row>
    <row r="31" spans="1:14" ht="15">
      <c r="A31" s="223"/>
      <c r="B31" s="224" t="s">
        <v>1322</v>
      </c>
      <c r="C31" s="225">
        <v>3500000</v>
      </c>
      <c r="D31" s="225">
        <v>0</v>
      </c>
      <c r="E31" s="212">
        <f>SUM(C31:D31)</f>
        <v>3500000</v>
      </c>
      <c r="F31" s="225">
        <v>0</v>
      </c>
      <c r="G31" s="225">
        <v>0</v>
      </c>
      <c r="H31" s="225"/>
      <c r="I31" s="225">
        <v>3500000</v>
      </c>
      <c r="J31" s="225">
        <v>0</v>
      </c>
      <c r="K31" s="225">
        <f>+F31+G31+I31+J31</f>
        <v>3500000</v>
      </c>
    </row>
    <row r="32" spans="1:14" ht="21.75" customHeight="1">
      <c r="A32" s="223"/>
      <c r="B32" s="224" t="s">
        <v>1323</v>
      </c>
      <c r="C32" s="225">
        <v>0</v>
      </c>
      <c r="D32" s="225">
        <v>0</v>
      </c>
      <c r="E32" s="212">
        <f>SUM(C32:D32)</f>
        <v>0</v>
      </c>
      <c r="F32" s="221">
        <v>0</v>
      </c>
      <c r="G32" s="221">
        <v>0</v>
      </c>
      <c r="H32" s="221"/>
      <c r="I32" s="221">
        <v>0</v>
      </c>
      <c r="J32" s="221">
        <v>0</v>
      </c>
      <c r="K32" s="225">
        <f t="shared" si="4"/>
        <v>0</v>
      </c>
      <c r="M32" s="247"/>
    </row>
    <row r="33" spans="1:13" ht="15">
      <c r="A33" s="222"/>
      <c r="B33" s="232" t="s">
        <v>1324</v>
      </c>
      <c r="C33" s="233">
        <f t="shared" ref="C33:K33" si="5">SUM(C31:C32)</f>
        <v>3500000</v>
      </c>
      <c r="D33" s="233">
        <f t="shared" si="5"/>
        <v>0</v>
      </c>
      <c r="E33" s="233">
        <f t="shared" si="5"/>
        <v>3500000</v>
      </c>
      <c r="F33" s="233">
        <f t="shared" si="5"/>
        <v>0</v>
      </c>
      <c r="G33" s="233">
        <f t="shared" si="5"/>
        <v>0</v>
      </c>
      <c r="H33" s="233"/>
      <c r="I33" s="233">
        <f t="shared" si="5"/>
        <v>3500000</v>
      </c>
      <c r="J33" s="233">
        <f t="shared" si="5"/>
        <v>0</v>
      </c>
      <c r="K33" s="233">
        <f t="shared" si="5"/>
        <v>3500000</v>
      </c>
      <c r="M33" s="247"/>
    </row>
    <row r="34" spans="1:13" ht="20.25" customHeight="1">
      <c r="A34" s="222">
        <v>3</v>
      </c>
      <c r="B34" s="220" t="s">
        <v>1325</v>
      </c>
      <c r="C34" s="231"/>
      <c r="D34" s="231"/>
      <c r="E34" s="231"/>
      <c r="F34" s="221"/>
      <c r="G34" s="221"/>
      <c r="H34" s="221"/>
      <c r="I34" s="221"/>
      <c r="J34" s="221"/>
      <c r="K34" s="225">
        <f t="shared" si="4"/>
        <v>0</v>
      </c>
      <c r="M34" s="247"/>
    </row>
    <row r="35" spans="1:13" ht="15">
      <c r="A35" s="223"/>
      <c r="B35" s="224" t="s">
        <v>1326</v>
      </c>
      <c r="C35" s="225">
        <f>12000000+3000000+2000000+6000000</f>
        <v>23000000</v>
      </c>
      <c r="D35" s="225">
        <v>0</v>
      </c>
      <c r="E35" s="212">
        <f>SUM(C35:D35)</f>
        <v>23000000</v>
      </c>
      <c r="F35" s="225">
        <v>2000000</v>
      </c>
      <c r="G35" s="225">
        <v>3000000</v>
      </c>
      <c r="H35" s="225">
        <v>6000000</v>
      </c>
      <c r="I35" s="225">
        <f>12000000</f>
        <v>12000000</v>
      </c>
      <c r="J35" s="225">
        <v>0</v>
      </c>
      <c r="K35" s="225">
        <f>+F35+G35+I35+J35+H35</f>
        <v>23000000</v>
      </c>
    </row>
    <row r="36" spans="1:13" ht="15.75" customHeight="1">
      <c r="A36" s="223"/>
      <c r="B36" s="224" t="s">
        <v>1327</v>
      </c>
      <c r="C36" s="225">
        <v>12000000</v>
      </c>
      <c r="D36" s="225">
        <v>0</v>
      </c>
      <c r="E36" s="212">
        <f>SUM(C36:D36)</f>
        <v>12000000</v>
      </c>
      <c r="F36" s="225">
        <v>0</v>
      </c>
      <c r="G36" s="225">
        <v>0</v>
      </c>
      <c r="H36" s="225"/>
      <c r="I36" s="225">
        <v>12000000</v>
      </c>
      <c r="J36" s="225">
        <v>0</v>
      </c>
      <c r="K36" s="225">
        <f t="shared" ref="K36:K53" si="6">+F36+G36+I36+J36+H36</f>
        <v>12000000</v>
      </c>
      <c r="M36" s="247"/>
    </row>
    <row r="37" spans="1:13" ht="30">
      <c r="A37" s="222"/>
      <c r="B37" s="232" t="s">
        <v>1328</v>
      </c>
      <c r="C37" s="233">
        <f t="shared" ref="C37:J37" si="7">SUM(C35:C36)</f>
        <v>35000000</v>
      </c>
      <c r="D37" s="233">
        <f t="shared" si="7"/>
        <v>0</v>
      </c>
      <c r="E37" s="233">
        <f t="shared" si="7"/>
        <v>35000000</v>
      </c>
      <c r="F37" s="233">
        <f t="shared" si="7"/>
        <v>2000000</v>
      </c>
      <c r="G37" s="233">
        <f t="shared" si="7"/>
        <v>3000000</v>
      </c>
      <c r="H37" s="233">
        <f t="shared" si="7"/>
        <v>6000000</v>
      </c>
      <c r="I37" s="233">
        <f t="shared" si="7"/>
        <v>24000000</v>
      </c>
      <c r="J37" s="233">
        <f t="shared" si="7"/>
        <v>0</v>
      </c>
      <c r="K37" s="225">
        <f t="shared" si="6"/>
        <v>35000000</v>
      </c>
      <c r="M37" s="247"/>
    </row>
    <row r="38" spans="1:13" ht="31.5" customHeight="1">
      <c r="A38" s="222">
        <v>4</v>
      </c>
      <c r="B38" s="220" t="s">
        <v>1329</v>
      </c>
      <c r="C38" s="221"/>
      <c r="D38" s="231"/>
      <c r="E38" s="231"/>
      <c r="F38" s="221"/>
      <c r="G38" s="221"/>
      <c r="H38" s="221"/>
      <c r="I38" s="221"/>
      <c r="J38" s="221"/>
      <c r="K38" s="225">
        <f t="shared" si="6"/>
        <v>0</v>
      </c>
      <c r="M38" s="247"/>
    </row>
    <row r="39" spans="1:13" ht="15">
      <c r="A39" s="223"/>
      <c r="B39" s="224" t="s">
        <v>939</v>
      </c>
      <c r="C39" s="225">
        <v>20000000</v>
      </c>
      <c r="D39" s="225">
        <v>0</v>
      </c>
      <c r="E39" s="212">
        <f t="shared" ref="E39:E46" si="8">SUM(C39:D39)</f>
        <v>20000000</v>
      </c>
      <c r="F39" s="225">
        <v>0</v>
      </c>
      <c r="G39" s="225">
        <v>0</v>
      </c>
      <c r="H39" s="225"/>
      <c r="I39" s="225">
        <v>20000000</v>
      </c>
      <c r="J39" s="225">
        <v>0</v>
      </c>
      <c r="K39" s="225">
        <f t="shared" si="6"/>
        <v>20000000</v>
      </c>
    </row>
    <row r="40" spans="1:13" ht="17.25" customHeight="1">
      <c r="A40" s="223"/>
      <c r="B40" s="224" t="s">
        <v>946</v>
      </c>
      <c r="C40" s="225">
        <v>457223</v>
      </c>
      <c r="D40" s="225">
        <v>0</v>
      </c>
      <c r="E40" s="212">
        <f t="shared" si="8"/>
        <v>457223</v>
      </c>
      <c r="F40" s="225">
        <v>0</v>
      </c>
      <c r="G40" s="225">
        <v>0</v>
      </c>
      <c r="H40" s="225"/>
      <c r="I40" s="225">
        <v>457223</v>
      </c>
      <c r="J40" s="225">
        <v>0</v>
      </c>
      <c r="K40" s="225">
        <f t="shared" si="6"/>
        <v>457223</v>
      </c>
      <c r="M40" s="247"/>
    </row>
    <row r="41" spans="1:13" ht="17.25" customHeight="1">
      <c r="A41" s="223"/>
      <c r="B41" s="220" t="s">
        <v>1330</v>
      </c>
      <c r="C41" s="221">
        <v>0</v>
      </c>
      <c r="D41" s="231"/>
      <c r="E41" s="212">
        <f t="shared" si="8"/>
        <v>0</v>
      </c>
      <c r="F41" s="221">
        <v>0</v>
      </c>
      <c r="G41" s="221">
        <v>0</v>
      </c>
      <c r="H41" s="221"/>
      <c r="I41" s="221">
        <v>0</v>
      </c>
      <c r="J41" s="221"/>
      <c r="K41" s="225">
        <f t="shared" si="6"/>
        <v>0</v>
      </c>
      <c r="M41" s="247"/>
    </row>
    <row r="42" spans="1:13" ht="15">
      <c r="A42" s="223"/>
      <c r="B42" s="224" t="s">
        <v>1331</v>
      </c>
      <c r="C42" s="225">
        <v>7542777</v>
      </c>
      <c r="D42" s="225">
        <v>0</v>
      </c>
      <c r="E42" s="212">
        <f t="shared" si="8"/>
        <v>7542777</v>
      </c>
      <c r="F42" s="225">
        <v>0</v>
      </c>
      <c r="G42" s="225">
        <v>0</v>
      </c>
      <c r="H42" s="225"/>
      <c r="I42" s="225">
        <v>7542777</v>
      </c>
      <c r="J42" s="225">
        <v>0</v>
      </c>
      <c r="K42" s="225">
        <f t="shared" si="6"/>
        <v>7542777</v>
      </c>
      <c r="M42" s="247"/>
    </row>
    <row r="43" spans="1:13" ht="20.25" customHeight="1">
      <c r="A43" s="223"/>
      <c r="B43" s="224" t="s">
        <v>1332</v>
      </c>
      <c r="C43" s="225">
        <v>11858589</v>
      </c>
      <c r="D43" s="225">
        <v>0</v>
      </c>
      <c r="E43" s="212">
        <f t="shared" si="8"/>
        <v>11858589</v>
      </c>
      <c r="F43" s="225">
        <v>0</v>
      </c>
      <c r="G43" s="225">
        <v>0</v>
      </c>
      <c r="H43" s="225"/>
      <c r="I43" s="225">
        <v>11858589</v>
      </c>
      <c r="J43" s="225">
        <v>0</v>
      </c>
      <c r="K43" s="225">
        <f t="shared" si="6"/>
        <v>11858589</v>
      </c>
      <c r="M43" s="247"/>
    </row>
    <row r="44" spans="1:13" ht="17.25" customHeight="1">
      <c r="A44" s="223"/>
      <c r="B44" s="224" t="s">
        <v>1333</v>
      </c>
      <c r="C44" s="225">
        <v>2641411</v>
      </c>
      <c r="D44" s="225">
        <v>0</v>
      </c>
      <c r="E44" s="212">
        <f t="shared" si="8"/>
        <v>2641411</v>
      </c>
      <c r="F44" s="225">
        <v>0</v>
      </c>
      <c r="G44" s="225">
        <v>0</v>
      </c>
      <c r="H44" s="225"/>
      <c r="I44" s="225">
        <v>2641411</v>
      </c>
      <c r="J44" s="225">
        <v>0</v>
      </c>
      <c r="K44" s="225">
        <f t="shared" si="6"/>
        <v>2641411</v>
      </c>
      <c r="M44" s="247"/>
    </row>
    <row r="45" spans="1:13" ht="16.5" customHeight="1">
      <c r="A45" s="223"/>
      <c r="B45" s="224" t="s">
        <v>1334</v>
      </c>
      <c r="C45" s="225">
        <v>0</v>
      </c>
      <c r="D45" s="225">
        <v>0</v>
      </c>
      <c r="E45" s="212">
        <f t="shared" si="8"/>
        <v>0</v>
      </c>
      <c r="F45" s="225">
        <v>0</v>
      </c>
      <c r="G45" s="225">
        <v>0</v>
      </c>
      <c r="H45" s="225"/>
      <c r="I45" s="225">
        <v>0</v>
      </c>
      <c r="J45" s="225">
        <v>0</v>
      </c>
      <c r="K45" s="225">
        <f t="shared" si="6"/>
        <v>0</v>
      </c>
      <c r="M45" s="247"/>
    </row>
    <row r="46" spans="1:13" ht="16.5" customHeight="1">
      <c r="A46" s="223"/>
      <c r="B46" s="224" t="s">
        <v>1335</v>
      </c>
      <c r="C46" s="225">
        <v>13000000</v>
      </c>
      <c r="D46" s="225">
        <v>0</v>
      </c>
      <c r="E46" s="212">
        <f t="shared" si="8"/>
        <v>13000000</v>
      </c>
      <c r="F46" s="225">
        <v>0</v>
      </c>
      <c r="G46" s="225">
        <v>0</v>
      </c>
      <c r="H46" s="225"/>
      <c r="I46" s="225">
        <v>13000000</v>
      </c>
      <c r="J46" s="225">
        <v>0</v>
      </c>
      <c r="K46" s="225">
        <f t="shared" si="6"/>
        <v>13000000</v>
      </c>
      <c r="M46" s="247"/>
    </row>
    <row r="47" spans="1:13" ht="18" customHeight="1">
      <c r="A47" s="222"/>
      <c r="B47" s="232" t="s">
        <v>1336</v>
      </c>
      <c r="C47" s="233">
        <f t="shared" ref="C47:J47" si="9">SUM(C39:C46)</f>
        <v>55500000</v>
      </c>
      <c r="D47" s="233">
        <f t="shared" si="9"/>
        <v>0</v>
      </c>
      <c r="E47" s="233">
        <f t="shared" si="9"/>
        <v>55500000</v>
      </c>
      <c r="F47" s="233">
        <f t="shared" si="9"/>
        <v>0</v>
      </c>
      <c r="G47" s="233">
        <f t="shared" si="9"/>
        <v>0</v>
      </c>
      <c r="H47" s="233"/>
      <c r="I47" s="233">
        <f t="shared" si="9"/>
        <v>55500000</v>
      </c>
      <c r="J47" s="233">
        <f t="shared" si="9"/>
        <v>0</v>
      </c>
      <c r="K47" s="225">
        <f t="shared" si="6"/>
        <v>55500000</v>
      </c>
      <c r="M47" s="247"/>
    </row>
    <row r="48" spans="1:13" ht="20.25" customHeight="1">
      <c r="A48" s="222">
        <v>5</v>
      </c>
      <c r="B48" s="220" t="s">
        <v>1337</v>
      </c>
      <c r="C48" s="221"/>
      <c r="D48" s="231"/>
      <c r="E48" s="231"/>
      <c r="F48" s="221"/>
      <c r="G48" s="221"/>
      <c r="H48" s="221"/>
      <c r="I48" s="221"/>
      <c r="J48" s="221"/>
      <c r="K48" s="225">
        <f t="shared" si="6"/>
        <v>0</v>
      </c>
      <c r="M48" s="247"/>
    </row>
    <row r="49" spans="1:13" ht="15">
      <c r="A49" s="223"/>
      <c r="B49" s="224" t="s">
        <v>1338</v>
      </c>
      <c r="C49" s="225">
        <v>53776</v>
      </c>
      <c r="D49" s="225">
        <v>0</v>
      </c>
      <c r="E49" s="212">
        <f>SUM(C49:D49)</f>
        <v>53776</v>
      </c>
      <c r="F49" s="225">
        <v>0</v>
      </c>
      <c r="G49" s="225">
        <v>0</v>
      </c>
      <c r="H49" s="225"/>
      <c r="I49" s="225">
        <v>53776</v>
      </c>
      <c r="J49" s="225">
        <v>0</v>
      </c>
      <c r="K49" s="225">
        <f t="shared" si="6"/>
        <v>53776</v>
      </c>
    </row>
    <row r="50" spans="1:13" ht="30">
      <c r="A50" s="223"/>
      <c r="B50" s="224" t="s">
        <v>1339</v>
      </c>
      <c r="C50" s="225">
        <v>0</v>
      </c>
      <c r="D50" s="225">
        <v>0</v>
      </c>
      <c r="E50" s="212">
        <f>SUM(C50:D50)</f>
        <v>0</v>
      </c>
      <c r="F50" s="225">
        <v>0</v>
      </c>
      <c r="G50" s="225">
        <v>0</v>
      </c>
      <c r="H50" s="225"/>
      <c r="I50" s="225">
        <v>0</v>
      </c>
      <c r="J50" s="225">
        <v>0</v>
      </c>
      <c r="K50" s="225">
        <f t="shared" si="6"/>
        <v>0</v>
      </c>
      <c r="M50" s="247"/>
    </row>
    <row r="51" spans="1:13" ht="32.25" customHeight="1">
      <c r="A51" s="223"/>
      <c r="B51" s="224" t="s">
        <v>1340</v>
      </c>
      <c r="C51" s="225">
        <v>200000</v>
      </c>
      <c r="D51" s="225">
        <v>0</v>
      </c>
      <c r="E51" s="212">
        <f>SUM(C51:D51)</f>
        <v>200000</v>
      </c>
      <c r="F51" s="225">
        <v>0</v>
      </c>
      <c r="G51" s="225">
        <v>0</v>
      </c>
      <c r="H51" s="225"/>
      <c r="I51" s="225">
        <v>200000</v>
      </c>
      <c r="J51" s="225">
        <v>0</v>
      </c>
      <c r="K51" s="225">
        <f t="shared" si="6"/>
        <v>200000</v>
      </c>
      <c r="M51" s="247"/>
    </row>
    <row r="52" spans="1:13" ht="19.5" customHeight="1">
      <c r="A52" s="223"/>
      <c r="B52" s="224" t="s">
        <v>1341</v>
      </c>
      <c r="C52" s="225">
        <v>208071</v>
      </c>
      <c r="D52" s="225">
        <v>0</v>
      </c>
      <c r="E52" s="212">
        <f>SUM(C52:D52)</f>
        <v>208071</v>
      </c>
      <c r="F52" s="225">
        <v>0</v>
      </c>
      <c r="G52" s="225">
        <v>0</v>
      </c>
      <c r="H52" s="225"/>
      <c r="I52" s="225">
        <v>208071</v>
      </c>
      <c r="J52" s="225">
        <v>0</v>
      </c>
      <c r="K52" s="225">
        <f t="shared" si="6"/>
        <v>208071</v>
      </c>
      <c r="M52" s="247"/>
    </row>
    <row r="53" spans="1:13" ht="18.75" customHeight="1">
      <c r="A53" s="223"/>
      <c r="B53" s="224" t="s">
        <v>1342</v>
      </c>
      <c r="C53" s="225">
        <v>1538153</v>
      </c>
      <c r="D53" s="225">
        <v>0</v>
      </c>
      <c r="E53" s="212">
        <f>SUM(C53:D53)</f>
        <v>1538153</v>
      </c>
      <c r="F53" s="225">
        <v>0</v>
      </c>
      <c r="G53" s="225">
        <v>0</v>
      </c>
      <c r="H53" s="225"/>
      <c r="I53" s="225">
        <v>1538153</v>
      </c>
      <c r="J53" s="225">
        <v>0</v>
      </c>
      <c r="K53" s="225">
        <f t="shared" si="6"/>
        <v>1538153</v>
      </c>
      <c r="M53" s="247"/>
    </row>
    <row r="54" spans="1:13" ht="18.75" customHeight="1">
      <c r="A54" s="222"/>
      <c r="B54" s="232" t="s">
        <v>1343</v>
      </c>
      <c r="C54" s="233">
        <f t="shared" ref="C54:I54" si="10">SUM(C49:C53)</f>
        <v>2000000</v>
      </c>
      <c r="D54" s="233">
        <v>0</v>
      </c>
      <c r="E54" s="233">
        <f t="shared" si="10"/>
        <v>2000000</v>
      </c>
      <c r="F54" s="233">
        <f t="shared" si="10"/>
        <v>0</v>
      </c>
      <c r="G54" s="233">
        <f t="shared" si="10"/>
        <v>0</v>
      </c>
      <c r="H54" s="233"/>
      <c r="I54" s="233">
        <f t="shared" si="10"/>
        <v>2000000</v>
      </c>
      <c r="J54" s="233">
        <v>0</v>
      </c>
      <c r="K54" s="225">
        <f t="shared" ref="K54" si="11">+F54+G54+I54+J54</f>
        <v>2000000</v>
      </c>
      <c r="M54" s="247"/>
    </row>
    <row r="55" spans="1:13" ht="17.25" customHeight="1">
      <c r="A55" s="226"/>
      <c r="B55" s="227" t="s">
        <v>1344</v>
      </c>
      <c r="C55" s="228">
        <f>C54+C47+C37+C33+C29</f>
        <v>133324770</v>
      </c>
      <c r="D55" s="228">
        <f>D54+D47+D37+D33+D29</f>
        <v>0</v>
      </c>
      <c r="E55" s="228">
        <f>E54+E47+E37+E33+E29</f>
        <v>133324770</v>
      </c>
      <c r="F55" s="228">
        <f>+F29+F33+F37+F47+F54</f>
        <v>2000000</v>
      </c>
      <c r="G55" s="228">
        <f t="shared" ref="G55:H55" si="12">+G29+G33+G37+G47+G54</f>
        <v>3000000</v>
      </c>
      <c r="H55" s="228">
        <f t="shared" si="12"/>
        <v>6000000</v>
      </c>
      <c r="I55" s="228">
        <f t="shared" ref="I55:K55" si="13">+I29+I33+I37+I47+I54</f>
        <v>122324770</v>
      </c>
      <c r="J55" s="228">
        <f t="shared" si="13"/>
        <v>0</v>
      </c>
      <c r="K55" s="228">
        <f t="shared" si="13"/>
        <v>133324770</v>
      </c>
      <c r="M55" s="247"/>
    </row>
    <row r="56" spans="1:13" ht="35.25" customHeight="1">
      <c r="A56" s="226"/>
      <c r="B56" s="227" t="s">
        <v>1345</v>
      </c>
      <c r="C56" s="228">
        <f t="shared" ref="C56:K56" si="14">+C22+C28+C55</f>
        <v>506174770</v>
      </c>
      <c r="D56" s="228">
        <f t="shared" si="14"/>
        <v>0</v>
      </c>
      <c r="E56" s="228">
        <f t="shared" si="14"/>
        <v>506174770</v>
      </c>
      <c r="F56" s="228">
        <f t="shared" si="14"/>
        <v>2600000</v>
      </c>
      <c r="G56" s="228">
        <f t="shared" si="14"/>
        <v>4800000</v>
      </c>
      <c r="H56" s="228">
        <f t="shared" si="14"/>
        <v>9000000</v>
      </c>
      <c r="I56" s="228">
        <f t="shared" si="14"/>
        <v>489774770</v>
      </c>
      <c r="J56" s="228">
        <f t="shared" si="14"/>
        <v>0</v>
      </c>
      <c r="K56" s="228">
        <f t="shared" si="14"/>
        <v>506174770</v>
      </c>
      <c r="M56" s="247">
        <f>K56+'(48) Annex.D'!G16</f>
        <v>530273000</v>
      </c>
    </row>
    <row r="57" spans="1:13" ht="33.75" customHeight="1">
      <c r="A57" s="234">
        <v>6</v>
      </c>
      <c r="B57" s="235" t="s">
        <v>1346</v>
      </c>
      <c r="C57" s="236">
        <v>5800000</v>
      </c>
      <c r="D57" s="236">
        <v>0</v>
      </c>
      <c r="E57" s="236">
        <f>C57+D57</f>
        <v>5800000</v>
      </c>
      <c r="F57" s="237">
        <v>0</v>
      </c>
      <c r="G57" s="237">
        <v>0</v>
      </c>
      <c r="H57" s="237"/>
      <c r="I57" s="237">
        <v>1785000</v>
      </c>
      <c r="J57" s="237">
        <v>0</v>
      </c>
      <c r="K57" s="228">
        <f>I57+J57</f>
        <v>1785000</v>
      </c>
      <c r="M57" s="247"/>
    </row>
    <row r="58" spans="1:13" ht="33.75" customHeight="1">
      <c r="A58" s="238"/>
      <c r="B58" s="239"/>
      <c r="C58" s="239"/>
      <c r="D58" s="239"/>
      <c r="E58" s="239"/>
      <c r="F58" s="239"/>
      <c r="G58" s="239"/>
      <c r="H58" s="239"/>
      <c r="I58" s="239"/>
      <c r="J58" s="239"/>
      <c r="K58" s="250" t="s">
        <v>1347</v>
      </c>
      <c r="M58" s="247"/>
    </row>
    <row r="59" spans="1:13" ht="33.75" customHeight="1">
      <c r="A59" s="219"/>
      <c r="B59" s="219" t="s">
        <v>1348</v>
      </c>
      <c r="C59" s="219"/>
      <c r="D59" s="219"/>
      <c r="E59" s="219"/>
      <c r="F59" s="219"/>
      <c r="G59" s="219"/>
      <c r="H59" s="219"/>
      <c r="I59" s="219">
        <v>26.76</v>
      </c>
      <c r="J59" s="219"/>
      <c r="K59" s="219"/>
      <c r="M59" s="247"/>
    </row>
    <row r="60" spans="1:13" ht="33.75" customHeight="1">
      <c r="A60" s="1264"/>
      <c r="B60" s="1264"/>
      <c r="C60" s="1264"/>
      <c r="D60" s="1264"/>
      <c r="E60" s="1264"/>
      <c r="F60" s="1264"/>
      <c r="G60" s="1264"/>
      <c r="H60" s="1264"/>
      <c r="I60" s="1264"/>
      <c r="J60" s="1264"/>
      <c r="K60" s="1264"/>
      <c r="M60" s="247"/>
    </row>
    <row r="61" spans="1:13" ht="33.75" customHeight="1">
      <c r="A61" s="240"/>
      <c r="B61" s="240"/>
      <c r="C61" s="240"/>
      <c r="D61" s="240"/>
      <c r="E61" s="240"/>
      <c r="F61" s="1606" t="s">
        <v>20</v>
      </c>
      <c r="G61" s="1606"/>
      <c r="H61" s="1606"/>
      <c r="I61" s="1606"/>
      <c r="J61" s="1606"/>
      <c r="K61" s="1606"/>
      <c r="M61" s="247"/>
    </row>
    <row r="62" spans="1:13" ht="33.75" customHeight="1">
      <c r="A62" s="241"/>
      <c r="B62" s="242"/>
      <c r="C62" s="240"/>
      <c r="D62" s="243"/>
      <c r="E62" s="240"/>
      <c r="F62" s="240"/>
      <c r="G62" s="240"/>
      <c r="H62" s="240"/>
      <c r="I62" s="251"/>
      <c r="M62" s="247"/>
    </row>
    <row r="63" spans="1:13" ht="15">
      <c r="A63" s="241"/>
      <c r="B63" s="240"/>
      <c r="C63" s="240"/>
      <c r="D63" s="240"/>
      <c r="E63" s="240"/>
      <c r="F63" s="240"/>
      <c r="G63" s="240"/>
      <c r="H63" s="240"/>
      <c r="I63" s="240"/>
    </row>
  </sheetData>
  <mergeCells count="7">
    <mergeCell ref="F7:I7"/>
    <mergeCell ref="F61:K61"/>
    <mergeCell ref="A1:J1"/>
    <mergeCell ref="A2:I2"/>
    <mergeCell ref="A3:I3"/>
    <mergeCell ref="A4:J4"/>
    <mergeCell ref="F6:I6"/>
  </mergeCells>
  <printOptions horizontalCentered="1" verticalCentered="1"/>
  <pageMargins left="0" right="0" top="0" bottom="0" header="0.35433070866141703" footer="0.31496062992126"/>
  <pageSetup paperSize="9" scale="80" orientation="landscape" r:id="rId1"/>
  <headerFooter alignWithMargins="0"/>
  <rowBreaks count="1" manualBreakCount="1">
    <brk id="29"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4"/>
  <sheetViews>
    <sheetView view="pageBreakPreview" zoomScaleNormal="100" workbookViewId="0">
      <selection activeCell="L6" sqref="L6"/>
    </sheetView>
  </sheetViews>
  <sheetFormatPr defaultColWidth="9.140625" defaultRowHeight="15.75"/>
  <cols>
    <col min="1" max="1" width="5.140625" style="131" customWidth="1"/>
    <col min="2" max="2" width="26.140625" style="131" customWidth="1"/>
    <col min="3" max="3" width="13.85546875" style="131" customWidth="1"/>
    <col min="4" max="4" width="16.28515625" style="102" customWidth="1"/>
    <col min="5" max="7" width="14.28515625" style="102" customWidth="1"/>
    <col min="8" max="8" width="13.28515625" style="102" customWidth="1"/>
    <col min="9" max="9" width="11.42578125" style="102" customWidth="1"/>
    <col min="10" max="10" width="11.85546875" style="102" customWidth="1"/>
    <col min="11" max="16384" width="9.140625" style="102"/>
  </cols>
  <sheetData>
    <row r="1" spans="1:16" customFormat="1">
      <c r="A1" s="1322" t="s">
        <v>1910</v>
      </c>
      <c r="B1" s="1322"/>
      <c r="C1" s="1322"/>
      <c r="D1" s="1322"/>
      <c r="E1" s="1322"/>
      <c r="F1" s="1322"/>
      <c r="G1" s="1322"/>
      <c r="H1" s="1322"/>
      <c r="I1" s="1322"/>
      <c r="J1" s="1322"/>
    </row>
    <row r="2" spans="1:16" ht="19.5">
      <c r="A2" s="1343" t="s">
        <v>43</v>
      </c>
      <c r="B2" s="1343"/>
      <c r="C2" s="1343"/>
      <c r="D2" s="1343"/>
      <c r="E2" s="1343"/>
      <c r="F2" s="1343"/>
      <c r="G2" s="1343"/>
      <c r="H2" s="1343"/>
      <c r="I2" s="1343"/>
      <c r="J2" s="1343"/>
    </row>
    <row r="3" spans="1:16" s="959" customFormat="1" ht="19.5">
      <c r="A3" s="1343"/>
      <c r="B3" s="1343"/>
      <c r="C3" s="1343"/>
      <c r="D3" s="1343"/>
      <c r="E3" s="1343"/>
      <c r="F3" s="1343"/>
      <c r="G3" s="1343"/>
      <c r="H3" s="1343"/>
      <c r="I3" s="1343"/>
      <c r="J3" s="1343"/>
      <c r="K3" s="102"/>
      <c r="L3" s="102"/>
      <c r="M3" s="102"/>
      <c r="N3" s="102"/>
      <c r="O3" s="102"/>
      <c r="P3" s="102"/>
    </row>
    <row r="4" spans="1:16" ht="19.5">
      <c r="A4" s="740" t="s">
        <v>92</v>
      </c>
      <c r="B4" s="740"/>
      <c r="C4" s="740"/>
      <c r="D4" s="842"/>
      <c r="E4" s="842"/>
      <c r="F4" s="842"/>
      <c r="G4" s="842"/>
      <c r="H4" s="842"/>
      <c r="I4" s="1371" t="s">
        <v>3</v>
      </c>
      <c r="J4" s="1371"/>
    </row>
    <row r="5" spans="1:16" s="131" customFormat="1" ht="19.5">
      <c r="A5" s="1369" t="s">
        <v>93</v>
      </c>
      <c r="B5" s="1369" t="s">
        <v>94</v>
      </c>
      <c r="C5" s="1369" t="s">
        <v>95</v>
      </c>
      <c r="D5" s="1369" t="s">
        <v>96</v>
      </c>
      <c r="E5" s="1369" t="s">
        <v>97</v>
      </c>
      <c r="F5" s="1369" t="s">
        <v>98</v>
      </c>
      <c r="G5" s="1369"/>
      <c r="H5" s="1369" t="s">
        <v>99</v>
      </c>
      <c r="I5" s="1370" t="s">
        <v>100</v>
      </c>
      <c r="J5" s="1369" t="s">
        <v>101</v>
      </c>
    </row>
    <row r="6" spans="1:16" s="131" customFormat="1" ht="58.5">
      <c r="A6" s="1369"/>
      <c r="B6" s="1369"/>
      <c r="C6" s="1369"/>
      <c r="D6" s="1369"/>
      <c r="E6" s="1369"/>
      <c r="F6" s="961" t="s">
        <v>102</v>
      </c>
      <c r="G6" s="962" t="s">
        <v>103</v>
      </c>
      <c r="H6" s="1369" t="s">
        <v>99</v>
      </c>
      <c r="I6" s="1370"/>
      <c r="J6" s="1369"/>
    </row>
    <row r="7" spans="1:16" ht="15.95" customHeight="1">
      <c r="A7" s="1366" t="s">
        <v>104</v>
      </c>
      <c r="B7" s="1367"/>
      <c r="C7" s="1367"/>
      <c r="D7" s="1367"/>
      <c r="E7" s="1367"/>
      <c r="F7" s="1367"/>
      <c r="G7" s="1367"/>
      <c r="H7" s="1367"/>
      <c r="I7" s="1367"/>
      <c r="J7" s="1368"/>
    </row>
    <row r="8" spans="1:16" ht="15.95" customHeight="1">
      <c r="A8" s="110"/>
      <c r="B8" s="110" t="s">
        <v>105</v>
      </c>
      <c r="C8" s="110">
        <v>1249132</v>
      </c>
      <c r="D8" s="965">
        <v>169840</v>
      </c>
      <c r="E8" s="965">
        <f>C8+D8</f>
        <v>1418972</v>
      </c>
      <c r="F8" s="965"/>
      <c r="G8" s="965">
        <v>159235</v>
      </c>
      <c r="H8" s="965">
        <f>F8+G8</f>
        <v>159235</v>
      </c>
      <c r="I8" s="971"/>
      <c r="J8" s="1018">
        <f>E8-H8</f>
        <v>1259737</v>
      </c>
    </row>
    <row r="9" spans="1:16" ht="15.95" customHeight="1">
      <c r="A9" s="110"/>
      <c r="B9" s="110"/>
      <c r="C9" s="110"/>
      <c r="D9" s="965"/>
      <c r="E9" s="965"/>
      <c r="F9" s="965"/>
      <c r="G9" s="965"/>
      <c r="H9" s="965"/>
      <c r="I9" s="971"/>
      <c r="J9" s="1018"/>
    </row>
    <row r="10" spans="1:16" ht="15.95" customHeight="1">
      <c r="A10" s="110"/>
      <c r="B10" s="110"/>
      <c r="C10" s="110"/>
      <c r="D10" s="965"/>
      <c r="E10" s="965"/>
      <c r="F10" s="965"/>
      <c r="G10" s="965"/>
      <c r="H10" s="965"/>
      <c r="I10" s="971"/>
      <c r="J10" s="1018"/>
    </row>
    <row r="11" spans="1:16" ht="15.95" customHeight="1">
      <c r="A11" s="1014" t="s">
        <v>106</v>
      </c>
      <c r="B11" s="1014"/>
      <c r="C11" s="1015">
        <f>SUM(C8:C10)</f>
        <v>1249132</v>
      </c>
      <c r="D11" s="1015">
        <f t="shared" ref="D11:J11" si="0">SUM(D8:D10)</f>
        <v>169840</v>
      </c>
      <c r="E11" s="1015">
        <f t="shared" si="0"/>
        <v>1418972</v>
      </c>
      <c r="F11" s="1015">
        <f t="shared" si="0"/>
        <v>0</v>
      </c>
      <c r="G11" s="1015">
        <f t="shared" si="0"/>
        <v>159235</v>
      </c>
      <c r="H11" s="1015">
        <f t="shared" si="0"/>
        <v>159235</v>
      </c>
      <c r="I11" s="1015">
        <f t="shared" si="0"/>
        <v>0</v>
      </c>
      <c r="J11" s="1015">
        <f t="shared" si="0"/>
        <v>1259737</v>
      </c>
    </row>
    <row r="12" spans="1:16" ht="15.95" customHeight="1">
      <c r="A12" s="1366" t="s">
        <v>107</v>
      </c>
      <c r="B12" s="1367"/>
      <c r="C12" s="1367"/>
      <c r="D12" s="1367"/>
      <c r="E12" s="1367"/>
      <c r="F12" s="1367"/>
      <c r="G12" s="1367"/>
      <c r="H12" s="1367"/>
      <c r="I12" s="1367"/>
      <c r="J12" s="1368"/>
    </row>
    <row r="13" spans="1:16" ht="15.95" customHeight="1">
      <c r="A13" s="110"/>
      <c r="B13" s="110"/>
      <c r="C13" s="110"/>
      <c r="D13" s="965"/>
      <c r="E13" s="965"/>
      <c r="F13" s="965"/>
      <c r="G13" s="965"/>
      <c r="H13" s="965"/>
      <c r="I13" s="971"/>
      <c r="J13" s="1018"/>
    </row>
    <row r="14" spans="1:16" ht="15.95" customHeight="1">
      <c r="A14" s="110"/>
      <c r="B14" s="110" t="s">
        <v>108</v>
      </c>
      <c r="C14" s="110">
        <v>2580261</v>
      </c>
      <c r="D14" s="965">
        <v>96110</v>
      </c>
      <c r="E14" s="965">
        <f>C14+D14</f>
        <v>2676371</v>
      </c>
      <c r="F14" s="965"/>
      <c r="G14" s="965">
        <v>85000</v>
      </c>
      <c r="H14" s="965">
        <f>F14+G14</f>
        <v>85000</v>
      </c>
      <c r="I14" s="971"/>
      <c r="J14" s="1018">
        <f>E14-H14</f>
        <v>2591371</v>
      </c>
    </row>
    <row r="15" spans="1:16" ht="15.95" customHeight="1">
      <c r="A15" s="110"/>
      <c r="B15" s="110"/>
      <c r="C15" s="110"/>
      <c r="D15" s="965"/>
      <c r="E15" s="965"/>
      <c r="F15" s="965"/>
      <c r="G15" s="965"/>
      <c r="H15" s="965"/>
      <c r="I15" s="971"/>
      <c r="J15" s="1018"/>
    </row>
    <row r="16" spans="1:16" ht="15.95" customHeight="1">
      <c r="A16" s="1016" t="s">
        <v>109</v>
      </c>
      <c r="B16" s="1016"/>
      <c r="C16" s="110">
        <f>SUM(C14:C15)</f>
        <v>2580261</v>
      </c>
      <c r="D16" s="110">
        <f t="shared" ref="D16:J16" si="1">SUM(D14:D15)</f>
        <v>96110</v>
      </c>
      <c r="E16" s="110">
        <f t="shared" si="1"/>
        <v>2676371</v>
      </c>
      <c r="F16" s="110">
        <f t="shared" si="1"/>
        <v>0</v>
      </c>
      <c r="G16" s="110">
        <f t="shared" si="1"/>
        <v>85000</v>
      </c>
      <c r="H16" s="110">
        <f t="shared" si="1"/>
        <v>85000</v>
      </c>
      <c r="I16" s="110">
        <f t="shared" si="1"/>
        <v>0</v>
      </c>
      <c r="J16" s="110">
        <f t="shared" si="1"/>
        <v>2591371</v>
      </c>
    </row>
    <row r="17" spans="1:12" s="131" customFormat="1" ht="15.95" customHeight="1">
      <c r="A17" s="984"/>
      <c r="B17" s="1016" t="s">
        <v>110</v>
      </c>
      <c r="C17" s="260">
        <f>C16+C11</f>
        <v>3829393</v>
      </c>
      <c r="D17" s="260">
        <f t="shared" ref="D17:J17" si="2">D16+D11</f>
        <v>265950</v>
      </c>
      <c r="E17" s="260">
        <f t="shared" si="2"/>
        <v>4095343</v>
      </c>
      <c r="F17" s="260">
        <f t="shared" si="2"/>
        <v>0</v>
      </c>
      <c r="G17" s="260">
        <f t="shared" si="2"/>
        <v>244235</v>
      </c>
      <c r="H17" s="260">
        <f t="shared" si="2"/>
        <v>244235</v>
      </c>
      <c r="I17" s="260">
        <f t="shared" si="2"/>
        <v>0</v>
      </c>
      <c r="J17" s="260">
        <f t="shared" si="2"/>
        <v>3851108</v>
      </c>
      <c r="L17" s="973"/>
    </row>
    <row r="18" spans="1:12" s="131" customFormat="1" ht="15.95" customHeight="1">
      <c r="A18" s="102" t="s">
        <v>111</v>
      </c>
      <c r="B18" s="159"/>
      <c r="C18" s="159"/>
      <c r="D18" s="1017"/>
      <c r="E18" s="1017"/>
      <c r="F18" s="1017"/>
      <c r="G18" s="1017"/>
      <c r="H18" s="1017"/>
      <c r="I18" s="1017"/>
      <c r="J18" s="1019"/>
    </row>
    <row r="19" spans="1:12" s="131" customFormat="1">
      <c r="B19" s="159"/>
      <c r="C19" s="159"/>
      <c r="D19" s="1017"/>
      <c r="E19" s="1017"/>
      <c r="F19" s="1017"/>
      <c r="G19" s="1017"/>
      <c r="H19" s="1017"/>
      <c r="I19" s="1017"/>
      <c r="J19" s="1019"/>
    </row>
    <row r="20" spans="1:12" s="131" customFormat="1">
      <c r="A20" s="1333" t="s">
        <v>20</v>
      </c>
      <c r="B20" s="1333"/>
      <c r="C20" s="1333"/>
      <c r="D20" s="1333"/>
      <c r="E20" s="1333"/>
      <c r="F20" s="1333"/>
      <c r="G20" s="1333"/>
      <c r="H20" s="1333"/>
      <c r="I20" s="1333"/>
      <c r="J20" s="1333"/>
      <c r="K20" s="354"/>
      <c r="L20" s="354"/>
    </row>
    <row r="21" spans="1:12">
      <c r="E21" s="985"/>
      <c r="F21" s="985"/>
      <c r="G21" s="985"/>
      <c r="H21" s="985"/>
    </row>
    <row r="22" spans="1:12">
      <c r="D22" s="987"/>
      <c r="J22" s="132"/>
    </row>
    <row r="23" spans="1:12">
      <c r="D23" s="137"/>
    </row>
    <row r="24" spans="1:12">
      <c r="E24" s="102" t="s">
        <v>91</v>
      </c>
    </row>
  </sheetData>
  <mergeCells count="16">
    <mergeCell ref="A1:J1"/>
    <mergeCell ref="A2:J2"/>
    <mergeCell ref="A3:J3"/>
    <mergeCell ref="I4:J4"/>
    <mergeCell ref="F5:G5"/>
    <mergeCell ref="A7:J7"/>
    <mergeCell ref="A12:J12"/>
    <mergeCell ref="A20:J20"/>
    <mergeCell ref="A5:A6"/>
    <mergeCell ref="B5:B6"/>
    <mergeCell ref="C5:C6"/>
    <mergeCell ref="D5:D6"/>
    <mergeCell ref="E5:E6"/>
    <mergeCell ref="H5:H6"/>
    <mergeCell ref="I5:I6"/>
    <mergeCell ref="J5:J6"/>
  </mergeCells>
  <printOptions horizontalCentered="1" verticalCentered="1"/>
  <pageMargins left="0" right="0" top="0" bottom="0" header="0.35433070866141703" footer="0.31496062992126"/>
  <pageSetup paperSize="9" scale="99"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N27"/>
  <sheetViews>
    <sheetView view="pageBreakPreview" topLeftCell="A16" zoomScale="85" zoomScaleNormal="100" workbookViewId="0">
      <selection activeCell="A2" sqref="A2:N2"/>
    </sheetView>
  </sheetViews>
  <sheetFormatPr defaultColWidth="9.140625" defaultRowHeight="15.75"/>
  <cols>
    <col min="1" max="1" width="5.140625" style="187" customWidth="1"/>
    <col min="2" max="2" width="41.85546875" style="185" customWidth="1"/>
    <col min="3" max="3" width="12.28515625" style="185" customWidth="1"/>
    <col min="4" max="4" width="17" style="185" customWidth="1"/>
    <col min="5" max="5" width="14.28515625" style="185" customWidth="1"/>
    <col min="6" max="6" width="14.140625" style="185" customWidth="1"/>
    <col min="7" max="7" width="12" style="185" customWidth="1"/>
    <col min="8" max="8" width="9.7109375" style="185" customWidth="1"/>
    <col min="9" max="9" width="15.42578125" style="185" customWidth="1"/>
    <col min="10" max="10" width="15.140625" style="185" customWidth="1"/>
    <col min="11" max="11" width="10" style="185" customWidth="1"/>
    <col min="12" max="12" width="11.140625" style="185" customWidth="1"/>
    <col min="13" max="13" width="9.140625" style="185" customWidth="1"/>
    <col min="14" max="14" width="13.85546875" style="185" customWidth="1"/>
    <col min="15" max="15" width="10.28515625" style="185" customWidth="1"/>
    <col min="16" max="16384" width="9.140625" style="185"/>
  </cols>
  <sheetData>
    <row r="1" spans="1:14">
      <c r="A1" s="1478" t="s">
        <v>1349</v>
      </c>
      <c r="B1" s="1478"/>
      <c r="C1" s="1478"/>
      <c r="D1" s="1478"/>
      <c r="E1" s="1478"/>
      <c r="F1" s="1478"/>
      <c r="G1" s="1478"/>
      <c r="H1" s="1478"/>
      <c r="I1" s="1478"/>
      <c r="J1" s="1478"/>
      <c r="K1" s="1478"/>
      <c r="L1" s="1478"/>
      <c r="M1" s="1478"/>
      <c r="N1" s="1478"/>
    </row>
    <row r="2" spans="1:14" ht="24.75" customHeight="1">
      <c r="A2" s="1479" t="s">
        <v>1910</v>
      </c>
      <c r="B2" s="1479"/>
      <c r="C2" s="1479"/>
      <c r="D2" s="1479"/>
      <c r="E2" s="1479"/>
      <c r="F2" s="1479"/>
      <c r="G2" s="1479"/>
      <c r="H2" s="1479"/>
      <c r="I2" s="1479"/>
      <c r="J2" s="1479"/>
      <c r="K2" s="1479"/>
      <c r="L2" s="1479"/>
      <c r="M2" s="1479"/>
      <c r="N2" s="1479"/>
    </row>
    <row r="3" spans="1:14" ht="17.25">
      <c r="A3" s="1479" t="s">
        <v>43</v>
      </c>
      <c r="B3" s="1479"/>
      <c r="C3" s="1479"/>
      <c r="D3" s="1479"/>
      <c r="E3" s="1479"/>
      <c r="F3" s="1479"/>
      <c r="G3" s="1479"/>
      <c r="H3" s="1479"/>
      <c r="I3" s="1479"/>
      <c r="J3" s="1479"/>
      <c r="K3" s="1479"/>
      <c r="L3" s="1479"/>
      <c r="M3" s="1479"/>
      <c r="N3" s="1479"/>
    </row>
    <row r="4" spans="1:14" ht="17.25">
      <c r="A4" s="156"/>
      <c r="B4" s="156"/>
      <c r="C4" s="156"/>
      <c r="D4" s="156"/>
      <c r="E4" s="156"/>
      <c r="F4" s="156"/>
      <c r="G4" s="156"/>
      <c r="H4" s="156"/>
      <c r="I4" s="156"/>
      <c r="J4" s="156"/>
      <c r="K4" s="156"/>
      <c r="L4" s="156"/>
      <c r="M4" s="156"/>
      <c r="N4" s="156"/>
    </row>
    <row r="5" spans="1:14" ht="18.75">
      <c r="A5" s="156"/>
      <c r="B5" s="156"/>
      <c r="C5" s="156"/>
      <c r="D5" s="156"/>
      <c r="E5" s="1616" t="s">
        <v>1350</v>
      </c>
      <c r="F5" s="1616"/>
      <c r="G5" s="1616"/>
      <c r="H5" s="1616"/>
      <c r="I5" s="1616"/>
      <c r="J5" s="156"/>
      <c r="K5" s="156"/>
      <c r="L5" s="156"/>
      <c r="M5" s="156"/>
      <c r="N5" s="156"/>
    </row>
    <row r="7" spans="1:14" ht="31.5" customHeight="1">
      <c r="A7" s="1481" t="s">
        <v>605</v>
      </c>
      <c r="B7" s="1481" t="s">
        <v>1351</v>
      </c>
      <c r="C7" s="1481" t="s">
        <v>1352</v>
      </c>
      <c r="D7" s="1481" t="s">
        <v>1353</v>
      </c>
      <c r="E7" s="1617" t="s">
        <v>1354</v>
      </c>
      <c r="F7" s="1618"/>
      <c r="G7" s="1619" t="s">
        <v>1355</v>
      </c>
      <c r="H7" s="1620"/>
      <c r="I7" s="1620"/>
      <c r="J7" s="1621"/>
      <c r="K7" s="1481" t="s">
        <v>1356</v>
      </c>
      <c r="L7" s="1617" t="s">
        <v>1357</v>
      </c>
      <c r="M7" s="1618"/>
      <c r="N7" s="1481" t="s">
        <v>1358</v>
      </c>
    </row>
    <row r="8" spans="1:14" ht="119.25" customHeight="1">
      <c r="A8" s="1482"/>
      <c r="B8" s="1483"/>
      <c r="C8" s="1482"/>
      <c r="D8" s="1482"/>
      <c r="E8" s="188" t="s">
        <v>1359</v>
      </c>
      <c r="F8" s="188" t="s">
        <v>1360</v>
      </c>
      <c r="G8" s="188" t="s">
        <v>1361</v>
      </c>
      <c r="H8" s="188" t="s">
        <v>1362</v>
      </c>
      <c r="I8" s="188" t="s">
        <v>1363</v>
      </c>
      <c r="J8" s="188" t="s">
        <v>1364</v>
      </c>
      <c r="K8" s="1615"/>
      <c r="L8" s="188" t="s">
        <v>1359</v>
      </c>
      <c r="M8" s="188" t="s">
        <v>1360</v>
      </c>
      <c r="N8" s="1482"/>
    </row>
    <row r="9" spans="1:14" s="186" customFormat="1">
      <c r="A9" s="189">
        <v>1</v>
      </c>
      <c r="B9" s="189">
        <v>2</v>
      </c>
      <c r="C9" s="189">
        <v>3</v>
      </c>
      <c r="D9" s="189">
        <v>4</v>
      </c>
      <c r="E9" s="189">
        <v>5</v>
      </c>
      <c r="F9" s="189">
        <v>6</v>
      </c>
      <c r="G9" s="189">
        <v>7</v>
      </c>
      <c r="H9" s="189">
        <v>8</v>
      </c>
      <c r="I9" s="189">
        <v>9</v>
      </c>
      <c r="J9" s="189" t="s">
        <v>1365</v>
      </c>
      <c r="K9" s="189">
        <v>11</v>
      </c>
      <c r="L9" s="189">
        <v>12</v>
      </c>
      <c r="M9" s="189">
        <v>13</v>
      </c>
      <c r="N9" s="189">
        <v>14</v>
      </c>
    </row>
    <row r="10" spans="1:14" ht="47.25">
      <c r="A10" s="190">
        <v>1</v>
      </c>
      <c r="B10" s="191" t="s">
        <v>740</v>
      </c>
      <c r="C10" s="192"/>
      <c r="D10" s="193">
        <v>329938</v>
      </c>
      <c r="E10" s="193"/>
      <c r="F10" s="193"/>
      <c r="G10" s="193"/>
      <c r="H10" s="193"/>
      <c r="I10" s="193">
        <v>259804</v>
      </c>
      <c r="J10" s="193">
        <f t="shared" ref="J10:J23" si="0">SUM(G10:I10)</f>
        <v>259804</v>
      </c>
      <c r="K10" s="193"/>
      <c r="L10" s="193"/>
      <c r="M10" s="193"/>
      <c r="N10" s="193">
        <f>D10+E10+F10-J10-K10-L10-M10</f>
        <v>70134</v>
      </c>
    </row>
    <row r="11" spans="1:14" ht="31.5">
      <c r="A11" s="190">
        <v>2</v>
      </c>
      <c r="B11" s="191" t="s">
        <v>741</v>
      </c>
      <c r="C11" s="194">
        <v>211</v>
      </c>
      <c r="D11" s="193">
        <v>0</v>
      </c>
      <c r="F11" s="193">
        <v>1600000</v>
      </c>
      <c r="G11" s="193"/>
      <c r="H11" s="193"/>
      <c r="I11" s="193">
        <v>1484360</v>
      </c>
      <c r="J11" s="193">
        <f t="shared" si="0"/>
        <v>1484360</v>
      </c>
      <c r="K11" s="193"/>
      <c r="L11" s="193"/>
      <c r="M11" s="193"/>
      <c r="N11" s="193">
        <f>D11+E11+F11-J11-K11-L11-M11</f>
        <v>115640</v>
      </c>
    </row>
    <row r="12" spans="1:14" ht="47.25">
      <c r="A12" s="190">
        <v>3</v>
      </c>
      <c r="B12" s="191" t="s">
        <v>742</v>
      </c>
      <c r="C12" s="194">
        <v>211</v>
      </c>
      <c r="D12" s="193">
        <v>1277</v>
      </c>
      <c r="F12" s="193">
        <v>3550000</v>
      </c>
      <c r="G12" s="193"/>
      <c r="H12" s="193"/>
      <c r="I12" s="193">
        <v>3489891</v>
      </c>
      <c r="J12" s="193">
        <f t="shared" si="0"/>
        <v>3489891</v>
      </c>
      <c r="K12" s="193"/>
      <c r="L12" s="193">
        <v>1277</v>
      </c>
      <c r="M12" s="193"/>
      <c r="N12" s="193">
        <f t="shared" ref="N12:N21" si="1">D12+E12+F12-J12-K12-L12-M12</f>
        <v>60109</v>
      </c>
    </row>
    <row r="13" spans="1:14">
      <c r="A13" s="190">
        <v>4</v>
      </c>
      <c r="B13" s="195" t="s">
        <v>743</v>
      </c>
      <c r="C13" s="194">
        <v>194</v>
      </c>
      <c r="D13" s="193">
        <v>856</v>
      </c>
      <c r="E13" s="193">
        <v>1425000</v>
      </c>
      <c r="F13" s="193"/>
      <c r="G13" s="193"/>
      <c r="H13" s="193"/>
      <c r="I13" s="193">
        <v>1369400</v>
      </c>
      <c r="J13" s="193">
        <f t="shared" si="0"/>
        <v>1369400</v>
      </c>
      <c r="K13" s="193"/>
      <c r="L13" s="193">
        <v>856</v>
      </c>
      <c r="M13" s="193"/>
      <c r="N13" s="193">
        <f t="shared" si="1"/>
        <v>55600</v>
      </c>
    </row>
    <row r="14" spans="1:14">
      <c r="A14" s="190">
        <v>5</v>
      </c>
      <c r="B14" s="191" t="s">
        <v>744</v>
      </c>
      <c r="C14" s="194">
        <v>30</v>
      </c>
      <c r="D14" s="193">
        <v>1688</v>
      </c>
      <c r="E14" s="193"/>
      <c r="F14" s="193"/>
      <c r="G14" s="193"/>
      <c r="H14" s="193"/>
      <c r="I14" s="193"/>
      <c r="J14" s="193">
        <f t="shared" si="0"/>
        <v>0</v>
      </c>
      <c r="K14" s="193"/>
      <c r="L14" s="193">
        <v>1688</v>
      </c>
      <c r="M14" s="193"/>
      <c r="N14" s="193">
        <f t="shared" si="1"/>
        <v>0</v>
      </c>
    </row>
    <row r="15" spans="1:14">
      <c r="A15" s="190">
        <v>6</v>
      </c>
      <c r="B15" s="191" t="s">
        <v>745</v>
      </c>
      <c r="C15" s="194">
        <v>210</v>
      </c>
      <c r="D15" s="193">
        <v>0</v>
      </c>
      <c r="F15" s="193">
        <v>4000000</v>
      </c>
      <c r="G15" s="193"/>
      <c r="H15" s="193"/>
      <c r="I15" s="193">
        <v>4000000</v>
      </c>
      <c r="J15" s="193">
        <f t="shared" si="0"/>
        <v>4000000</v>
      </c>
      <c r="K15" s="193"/>
      <c r="L15" s="193"/>
      <c r="M15" s="193"/>
      <c r="N15" s="193">
        <f t="shared" si="1"/>
        <v>0</v>
      </c>
    </row>
    <row r="16" spans="1:14">
      <c r="A16" s="190">
        <v>7</v>
      </c>
      <c r="B16" s="191" t="s">
        <v>746</v>
      </c>
      <c r="C16" s="194">
        <v>204</v>
      </c>
      <c r="D16" s="193">
        <v>193714</v>
      </c>
      <c r="F16" s="193">
        <v>8503600</v>
      </c>
      <c r="G16" s="193"/>
      <c r="H16" s="193"/>
      <c r="I16" s="193">
        <v>7440344</v>
      </c>
      <c r="J16" s="193">
        <f t="shared" si="0"/>
        <v>7440344</v>
      </c>
      <c r="K16" s="193"/>
      <c r="L16" s="193">
        <v>193714</v>
      </c>
      <c r="M16" s="193"/>
      <c r="N16" s="193">
        <f t="shared" si="1"/>
        <v>1063256</v>
      </c>
    </row>
    <row r="17" spans="1:14">
      <c r="A17" s="190">
        <v>8</v>
      </c>
      <c r="B17" s="195" t="s">
        <v>747</v>
      </c>
      <c r="C17" s="194"/>
      <c r="D17" s="193">
        <v>119091</v>
      </c>
      <c r="E17" s="193">
        <v>0</v>
      </c>
      <c r="F17" s="193"/>
      <c r="G17" s="193"/>
      <c r="H17" s="193"/>
      <c r="I17" s="193">
        <v>0</v>
      </c>
      <c r="J17" s="193">
        <f t="shared" si="0"/>
        <v>0</v>
      </c>
      <c r="K17" s="193"/>
      <c r="L17" s="193"/>
      <c r="M17" s="193"/>
      <c r="N17" s="193">
        <f t="shared" si="1"/>
        <v>119091</v>
      </c>
    </row>
    <row r="18" spans="1:14">
      <c r="A18" s="190">
        <v>9</v>
      </c>
      <c r="B18" s="196" t="s">
        <v>748</v>
      </c>
      <c r="C18" s="194"/>
      <c r="D18" s="193">
        <v>0</v>
      </c>
      <c r="F18" s="193">
        <v>2899500</v>
      </c>
      <c r="G18" s="193"/>
      <c r="H18" s="193"/>
      <c r="I18" s="193">
        <v>2748709</v>
      </c>
      <c r="J18" s="193">
        <f t="shared" si="0"/>
        <v>2748709</v>
      </c>
      <c r="K18" s="193"/>
      <c r="L18" s="193"/>
      <c r="M18" s="193"/>
      <c r="N18" s="193">
        <f t="shared" si="1"/>
        <v>150791</v>
      </c>
    </row>
    <row r="19" spans="1:14">
      <c r="A19" s="190">
        <v>10</v>
      </c>
      <c r="B19" s="196" t="s">
        <v>749</v>
      </c>
      <c r="C19" s="194"/>
      <c r="D19" s="193">
        <v>0</v>
      </c>
      <c r="F19" s="193">
        <v>896184</v>
      </c>
      <c r="G19" s="193"/>
      <c r="H19" s="193"/>
      <c r="I19" s="193"/>
      <c r="J19" s="193">
        <f t="shared" si="0"/>
        <v>0</v>
      </c>
      <c r="K19" s="193"/>
      <c r="L19" s="193"/>
      <c r="M19" s="193"/>
      <c r="N19" s="193">
        <f t="shared" si="1"/>
        <v>896184</v>
      </c>
    </row>
    <row r="20" spans="1:14" ht="37.5" customHeight="1">
      <c r="A20" s="190">
        <v>11</v>
      </c>
      <c r="B20" s="197" t="s">
        <v>750</v>
      </c>
      <c r="C20" s="198"/>
      <c r="D20" s="193">
        <v>0</v>
      </c>
      <c r="E20" s="193">
        <v>269100</v>
      </c>
      <c r="F20" s="193"/>
      <c r="G20" s="193"/>
      <c r="H20" s="193"/>
      <c r="I20" s="193">
        <v>243782</v>
      </c>
      <c r="J20" s="193">
        <f t="shared" si="0"/>
        <v>243782</v>
      </c>
      <c r="K20" s="193"/>
      <c r="L20" s="193"/>
      <c r="M20" s="193"/>
      <c r="N20" s="193">
        <f t="shared" si="1"/>
        <v>25318</v>
      </c>
    </row>
    <row r="21" spans="1:14" ht="81" customHeight="1">
      <c r="A21" s="190">
        <v>12</v>
      </c>
      <c r="B21" s="199" t="s">
        <v>751</v>
      </c>
      <c r="C21" s="192"/>
      <c r="D21" s="193">
        <v>0</v>
      </c>
      <c r="E21" s="185">
        <v>0</v>
      </c>
      <c r="F21" s="193">
        <v>250000</v>
      </c>
      <c r="G21" s="193"/>
      <c r="H21" s="193"/>
      <c r="I21" s="193">
        <v>249964</v>
      </c>
      <c r="J21" s="193">
        <f t="shared" si="0"/>
        <v>249964</v>
      </c>
      <c r="K21" s="193"/>
      <c r="L21" s="193"/>
      <c r="M21" s="193"/>
      <c r="N21" s="193">
        <f t="shared" si="1"/>
        <v>36</v>
      </c>
    </row>
    <row r="22" spans="1:14">
      <c r="A22" s="190"/>
      <c r="C22" s="192"/>
      <c r="D22" s="193"/>
      <c r="E22" s="193"/>
      <c r="F22" s="193"/>
      <c r="G22" s="193"/>
      <c r="H22" s="193"/>
      <c r="I22" s="193"/>
      <c r="J22" s="193">
        <f t="shared" si="0"/>
        <v>0</v>
      </c>
      <c r="K22" s="193"/>
      <c r="L22" s="193"/>
      <c r="M22" s="193"/>
      <c r="N22" s="193">
        <f t="shared" ref="N22:N23" si="2">D22+E22+F22-J22-K22-L22-M22</f>
        <v>0</v>
      </c>
    </row>
    <row r="23" spans="1:14">
      <c r="A23" s="190"/>
      <c r="B23" s="200"/>
      <c r="C23" s="200"/>
      <c r="D23" s="193"/>
      <c r="E23" s="193"/>
      <c r="F23" s="193"/>
      <c r="G23" s="193"/>
      <c r="H23" s="193"/>
      <c r="I23" s="193"/>
      <c r="J23" s="193">
        <f t="shared" si="0"/>
        <v>0</v>
      </c>
      <c r="K23" s="193"/>
      <c r="L23" s="193"/>
      <c r="M23" s="193"/>
      <c r="N23" s="193">
        <f t="shared" si="2"/>
        <v>0</v>
      </c>
    </row>
    <row r="24" spans="1:14">
      <c r="A24" s="190"/>
      <c r="B24" s="201" t="s">
        <v>491</v>
      </c>
      <c r="C24" s="200"/>
      <c r="D24" s="202">
        <f>SUM(D10:D23)</f>
        <v>646564</v>
      </c>
      <c r="E24" s="202">
        <f t="shared" ref="E24:N24" si="3">SUM(E10:E23)</f>
        <v>1694100</v>
      </c>
      <c r="F24" s="202">
        <f t="shared" si="3"/>
        <v>21699284</v>
      </c>
      <c r="G24" s="202">
        <f t="shared" si="3"/>
        <v>0</v>
      </c>
      <c r="H24" s="202">
        <f t="shared" si="3"/>
        <v>0</v>
      </c>
      <c r="I24" s="202">
        <f t="shared" si="3"/>
        <v>21286254</v>
      </c>
      <c r="J24" s="202">
        <f t="shared" si="3"/>
        <v>21286254</v>
      </c>
      <c r="K24" s="202"/>
      <c r="L24" s="202">
        <f t="shared" si="3"/>
        <v>197535</v>
      </c>
      <c r="M24" s="202">
        <f t="shared" si="3"/>
        <v>0</v>
      </c>
      <c r="N24" s="202">
        <f t="shared" si="3"/>
        <v>2556159</v>
      </c>
    </row>
    <row r="27" spans="1:14">
      <c r="J27" s="1614" t="s">
        <v>20</v>
      </c>
      <c r="K27" s="1614"/>
      <c r="L27" s="1614"/>
      <c r="M27" s="1614"/>
      <c r="N27" s="1614"/>
    </row>
  </sheetData>
  <mergeCells count="14">
    <mergeCell ref="A1:N1"/>
    <mergeCell ref="A2:N2"/>
    <mergeCell ref="A3:N3"/>
    <mergeCell ref="E5:I5"/>
    <mergeCell ref="E7:F7"/>
    <mergeCell ref="G7:J7"/>
    <mergeCell ref="L7:M7"/>
    <mergeCell ref="J27:N27"/>
    <mergeCell ref="A7:A8"/>
    <mergeCell ref="B7:B8"/>
    <mergeCell ref="C7:C8"/>
    <mergeCell ref="D7:D8"/>
    <mergeCell ref="K7:K8"/>
    <mergeCell ref="N7:N8"/>
  </mergeCells>
  <printOptions horizontalCentered="1" verticalCentered="1"/>
  <pageMargins left="0" right="0" top="0" bottom="0" header="0.35433070866141703" footer="0.31496062992126"/>
  <pageSetup paperSize="9" scale="73" orientation="landscape" r:id="rId1"/>
  <headerFooter alignWithMargins="0"/>
  <ignoredErrors>
    <ignoredError sqref="D24:F24 G24:M24" formulaRange="1"/>
  </ignoredError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R20"/>
  <sheetViews>
    <sheetView view="pageLayout" topLeftCell="C11" zoomScaleNormal="100" workbookViewId="0">
      <selection activeCell="M17" sqref="M17"/>
    </sheetView>
  </sheetViews>
  <sheetFormatPr defaultColWidth="9.140625" defaultRowHeight="12.75"/>
  <cols>
    <col min="2" max="2" width="19.85546875" customWidth="1"/>
    <col min="3" max="3" width="15.85546875" customWidth="1"/>
    <col min="4" max="4" width="15.28515625" customWidth="1"/>
    <col min="5" max="5" width="13" customWidth="1"/>
    <col min="6" max="6" width="14.7109375" customWidth="1"/>
    <col min="7" max="7" width="16.85546875" customWidth="1"/>
    <col min="8" max="8" width="13" customWidth="1"/>
    <col min="9" max="11" width="13.7109375" customWidth="1"/>
    <col min="12" max="12" width="15" customWidth="1"/>
    <col min="13" max="13" width="13" customWidth="1"/>
    <col min="14" max="14" width="14.28515625" customWidth="1"/>
    <col min="15" max="15" width="22.7109375" customWidth="1"/>
    <col min="16" max="16" width="23.85546875" customWidth="1"/>
  </cols>
  <sheetData>
    <row r="1" spans="1:18" ht="15">
      <c r="A1" s="1478" t="s">
        <v>1366</v>
      </c>
      <c r="B1" s="1478"/>
      <c r="C1" s="1478"/>
      <c r="D1" s="1478"/>
      <c r="E1" s="1478"/>
      <c r="F1" s="1478"/>
      <c r="G1" s="1478"/>
      <c r="H1" s="1478"/>
      <c r="I1" s="1478"/>
      <c r="J1" s="1478"/>
      <c r="K1" s="1478"/>
      <c r="L1" s="1478"/>
      <c r="M1" s="1478"/>
      <c r="N1" s="1478"/>
      <c r="O1" s="1478"/>
      <c r="P1" s="1478"/>
      <c r="Q1" s="184"/>
      <c r="R1" s="184"/>
    </row>
    <row r="2" spans="1:18" ht="36">
      <c r="A2" s="1635" t="s">
        <v>1910</v>
      </c>
      <c r="B2" s="1635"/>
      <c r="C2" s="1635"/>
      <c r="D2" s="1635"/>
      <c r="E2" s="1635"/>
      <c r="F2" s="1635"/>
      <c r="G2" s="1635"/>
      <c r="H2" s="1635"/>
      <c r="I2" s="1635"/>
      <c r="J2" s="1635"/>
      <c r="K2" s="1635"/>
      <c r="L2" s="1635"/>
      <c r="M2" s="1635"/>
      <c r="N2" s="1635"/>
      <c r="O2" s="1635"/>
      <c r="P2" s="1635"/>
      <c r="Q2" s="157"/>
      <c r="R2" s="157"/>
    </row>
    <row r="3" spans="1:18" ht="36">
      <c r="A3" s="1635" t="s">
        <v>43</v>
      </c>
      <c r="B3" s="1635"/>
      <c r="C3" s="1635"/>
      <c r="D3" s="1635"/>
      <c r="E3" s="1635"/>
      <c r="F3" s="1635"/>
      <c r="G3" s="1635"/>
      <c r="H3" s="1635"/>
      <c r="I3" s="1635"/>
      <c r="J3" s="1635"/>
      <c r="K3" s="1635"/>
      <c r="L3" s="1635"/>
      <c r="M3" s="1635"/>
      <c r="N3" s="1635"/>
      <c r="O3" s="1635"/>
      <c r="P3" s="1635"/>
      <c r="Q3" s="157"/>
      <c r="R3" s="157"/>
    </row>
    <row r="4" spans="1:18" ht="17.25">
      <c r="A4" s="156"/>
      <c r="B4" s="156"/>
      <c r="C4" s="156"/>
      <c r="D4" s="156"/>
      <c r="E4" s="156"/>
      <c r="F4" s="156"/>
      <c r="G4" s="156"/>
      <c r="H4" s="156"/>
      <c r="I4" s="156"/>
      <c r="J4" s="156"/>
      <c r="K4" s="156"/>
      <c r="L4" s="156"/>
      <c r="M4" s="156"/>
      <c r="N4" s="156"/>
      <c r="O4" s="156"/>
      <c r="P4" s="156"/>
      <c r="Q4" s="156"/>
      <c r="R4" s="156"/>
    </row>
    <row r="5" spans="1:18" ht="28.5">
      <c r="A5" s="156"/>
      <c r="B5" s="1636" t="s">
        <v>1367</v>
      </c>
      <c r="C5" s="1636"/>
      <c r="D5" s="1636"/>
      <c r="E5" s="1636"/>
      <c r="F5" s="1636"/>
      <c r="G5" s="1636"/>
      <c r="H5" s="1636"/>
      <c r="I5" s="1636"/>
      <c r="J5" s="1636"/>
      <c r="K5" s="1636"/>
      <c r="L5" s="1636"/>
      <c r="M5" s="1636"/>
      <c r="N5" s="1636"/>
      <c r="O5" s="1636"/>
      <c r="P5" s="1636"/>
      <c r="Q5" s="156"/>
      <c r="R5" s="156"/>
    </row>
    <row r="6" spans="1:18" ht="18.75">
      <c r="A6" s="1637" t="s">
        <v>1235</v>
      </c>
      <c r="B6" s="1637"/>
      <c r="C6" s="1637"/>
      <c r="D6" s="1637"/>
      <c r="E6" s="1637"/>
      <c r="F6" s="1637"/>
      <c r="G6" s="1637"/>
      <c r="H6" s="1637"/>
      <c r="I6" s="1637"/>
      <c r="J6" s="1637"/>
      <c r="K6" s="1637"/>
      <c r="L6" s="1637"/>
      <c r="M6" s="1637"/>
      <c r="N6" s="1637"/>
      <c r="O6" s="1637"/>
      <c r="P6" s="1637"/>
      <c r="Q6" s="185"/>
      <c r="R6" s="185"/>
    </row>
    <row r="7" spans="1:18" ht="33.75" customHeight="1">
      <c r="A7" s="1623" t="s">
        <v>796</v>
      </c>
      <c r="B7" s="1625" t="s">
        <v>1368</v>
      </c>
      <c r="C7" s="1628" t="s">
        <v>1369</v>
      </c>
      <c r="D7" s="1629"/>
      <c r="E7" s="1630" t="s">
        <v>1370</v>
      </c>
      <c r="F7" s="1631"/>
      <c r="G7" s="1625" t="s">
        <v>12</v>
      </c>
      <c r="H7" s="1630" t="s">
        <v>1371</v>
      </c>
      <c r="I7" s="1631"/>
      <c r="J7" s="1627" t="s">
        <v>12</v>
      </c>
      <c r="K7" s="1632" t="s">
        <v>1372</v>
      </c>
      <c r="L7" s="1632"/>
      <c r="M7" s="1633" t="s">
        <v>1373</v>
      </c>
      <c r="N7" s="1634"/>
      <c r="O7" s="1622" t="s">
        <v>1374</v>
      </c>
      <c r="P7" s="1622"/>
    </row>
    <row r="8" spans="1:18" ht="18.75">
      <c r="A8" s="1624"/>
      <c r="B8" s="1626"/>
      <c r="C8" s="175" t="s">
        <v>1375</v>
      </c>
      <c r="D8" s="175" t="s">
        <v>734</v>
      </c>
      <c r="E8" s="175" t="s">
        <v>1375</v>
      </c>
      <c r="F8" s="175" t="s">
        <v>734</v>
      </c>
      <c r="G8" s="1626"/>
      <c r="H8" s="175" t="s">
        <v>1375</v>
      </c>
      <c r="I8" s="175" t="s">
        <v>734</v>
      </c>
      <c r="J8" s="1627"/>
      <c r="K8" s="175" t="s">
        <v>1375</v>
      </c>
      <c r="L8" s="175" t="s">
        <v>734</v>
      </c>
      <c r="M8" s="175" t="s">
        <v>1375</v>
      </c>
      <c r="N8" s="175" t="s">
        <v>734</v>
      </c>
      <c r="O8" s="175" t="s">
        <v>1375</v>
      </c>
      <c r="P8" s="175" t="s">
        <v>734</v>
      </c>
    </row>
    <row r="9" spans="1:18" ht="18.75">
      <c r="A9" s="173">
        <v>1</v>
      </c>
      <c r="B9" s="174">
        <v>2</v>
      </c>
      <c r="C9" s="174">
        <v>3</v>
      </c>
      <c r="D9" s="174">
        <v>4</v>
      </c>
      <c r="E9" s="175">
        <v>5</v>
      </c>
      <c r="F9" s="175">
        <v>6</v>
      </c>
      <c r="G9" s="175" t="s">
        <v>1376</v>
      </c>
      <c r="H9" s="175">
        <v>8</v>
      </c>
      <c r="I9" s="175">
        <v>9</v>
      </c>
      <c r="J9" s="175" t="s">
        <v>1377</v>
      </c>
      <c r="K9" s="182">
        <v>11</v>
      </c>
      <c r="L9" s="182">
        <v>12</v>
      </c>
      <c r="M9" s="182">
        <v>13</v>
      </c>
      <c r="N9" s="182">
        <v>14</v>
      </c>
      <c r="O9" s="176" t="s">
        <v>1378</v>
      </c>
      <c r="P9" s="176" t="s">
        <v>1379</v>
      </c>
    </row>
    <row r="10" spans="1:18" ht="37.5">
      <c r="A10" s="176">
        <v>1</v>
      </c>
      <c r="B10" s="177" t="s">
        <v>1380</v>
      </c>
      <c r="C10" s="177"/>
      <c r="D10" s="177"/>
      <c r="E10" s="178"/>
      <c r="F10" s="178"/>
      <c r="G10" s="179">
        <f>E10+F10</f>
        <v>0</v>
      </c>
      <c r="H10" s="179"/>
      <c r="I10" s="179"/>
      <c r="J10" s="179">
        <f>H10+I10</f>
        <v>0</v>
      </c>
      <c r="K10" s="182"/>
      <c r="L10" s="182"/>
      <c r="M10" s="182"/>
      <c r="N10" s="182"/>
      <c r="O10" s="182">
        <f>+C10+E10-H10-K10-M10</f>
        <v>0</v>
      </c>
      <c r="P10" s="182">
        <f>D10+F10-I10-L10-N10</f>
        <v>0</v>
      </c>
    </row>
    <row r="11" spans="1:18" ht="37.5">
      <c r="A11" s="176">
        <v>2</v>
      </c>
      <c r="B11" s="177" t="s">
        <v>1381</v>
      </c>
      <c r="C11" s="177"/>
      <c r="D11" s="177"/>
      <c r="E11" s="178"/>
      <c r="F11" s="178"/>
      <c r="G11" s="179">
        <f t="shared" ref="G11:G15" si="0">E11+F11</f>
        <v>0</v>
      </c>
      <c r="H11" s="179"/>
      <c r="I11" s="179"/>
      <c r="J11" s="179">
        <f t="shared" ref="J11:J15" si="1">H11+I11</f>
        <v>0</v>
      </c>
      <c r="K11" s="182"/>
      <c r="L11" s="182"/>
      <c r="M11" s="182"/>
      <c r="N11" s="182"/>
      <c r="O11" s="182">
        <f t="shared" ref="O11:O14" si="2">+C11+E11-H11-K11-M11</f>
        <v>0</v>
      </c>
      <c r="P11" s="182">
        <f t="shared" ref="P11:P15" si="3">D11+F11-I11-L11-N11</f>
        <v>0</v>
      </c>
    </row>
    <row r="12" spans="1:18" ht="37.5">
      <c r="A12" s="176">
        <v>3</v>
      </c>
      <c r="B12" s="177" t="s">
        <v>1382</v>
      </c>
      <c r="C12" s="177"/>
      <c r="D12" s="177"/>
      <c r="E12" s="178"/>
      <c r="F12" s="178"/>
      <c r="G12" s="179">
        <f t="shared" si="0"/>
        <v>0</v>
      </c>
      <c r="H12" s="179"/>
      <c r="I12" s="179"/>
      <c r="J12" s="179">
        <f t="shared" si="1"/>
        <v>0</v>
      </c>
      <c r="K12" s="182"/>
      <c r="L12" s="182"/>
      <c r="M12" s="182"/>
      <c r="N12" s="182"/>
      <c r="O12" s="182">
        <f t="shared" si="2"/>
        <v>0</v>
      </c>
      <c r="P12" s="182">
        <f t="shared" si="3"/>
        <v>0</v>
      </c>
    </row>
    <row r="13" spans="1:18" ht="56.25">
      <c r="A13" s="176">
        <v>4</v>
      </c>
      <c r="B13" s="177" t="s">
        <v>1383</v>
      </c>
      <c r="C13" s="177"/>
      <c r="D13" s="177"/>
      <c r="E13" s="178"/>
      <c r="F13" s="178"/>
      <c r="G13" s="179">
        <f t="shared" si="0"/>
        <v>0</v>
      </c>
      <c r="H13" s="179"/>
      <c r="I13" s="179"/>
      <c r="J13" s="179">
        <f t="shared" si="1"/>
        <v>0</v>
      </c>
      <c r="K13" s="182"/>
      <c r="L13" s="182"/>
      <c r="M13" s="182"/>
      <c r="N13" s="182"/>
      <c r="O13" s="182">
        <f t="shared" si="2"/>
        <v>0</v>
      </c>
      <c r="P13" s="182">
        <f t="shared" si="3"/>
        <v>0</v>
      </c>
    </row>
    <row r="14" spans="1:18" ht="18.75">
      <c r="A14" s="176">
        <v>5</v>
      </c>
      <c r="B14" s="177" t="s">
        <v>1384</v>
      </c>
      <c r="C14" s="177"/>
      <c r="D14" s="177"/>
      <c r="E14" s="178"/>
      <c r="F14" s="178"/>
      <c r="G14" s="180">
        <f t="shared" si="0"/>
        <v>0</v>
      </c>
      <c r="H14" s="178"/>
      <c r="I14" s="178"/>
      <c r="J14" s="180">
        <f t="shared" si="1"/>
        <v>0</v>
      </c>
      <c r="K14" s="182"/>
      <c r="L14" s="182"/>
      <c r="M14" s="182"/>
      <c r="N14" s="182"/>
      <c r="O14" s="183">
        <f t="shared" si="2"/>
        <v>0</v>
      </c>
      <c r="P14" s="183">
        <f t="shared" si="3"/>
        <v>0</v>
      </c>
    </row>
    <row r="15" spans="1:18" ht="75">
      <c r="A15" s="176">
        <v>6</v>
      </c>
      <c r="B15" s="177" t="s">
        <v>1385</v>
      </c>
      <c r="C15" s="181">
        <v>0</v>
      </c>
      <c r="D15" s="181">
        <v>0</v>
      </c>
      <c r="E15" s="179">
        <v>24098230</v>
      </c>
      <c r="F15" s="179">
        <v>0</v>
      </c>
      <c r="G15" s="179">
        <f t="shared" si="0"/>
        <v>24098230</v>
      </c>
      <c r="H15" s="179">
        <v>24098230</v>
      </c>
      <c r="I15" s="179"/>
      <c r="J15" s="179">
        <f t="shared" si="1"/>
        <v>24098230</v>
      </c>
      <c r="K15" s="182">
        <v>0</v>
      </c>
      <c r="L15" s="182">
        <v>0</v>
      </c>
      <c r="M15" s="182">
        <v>0</v>
      </c>
      <c r="N15" s="182">
        <v>0</v>
      </c>
      <c r="O15" s="182">
        <f>C15+E15-H15-K15-M15</f>
        <v>0</v>
      </c>
      <c r="P15" s="183">
        <f t="shared" si="3"/>
        <v>0</v>
      </c>
    </row>
    <row r="16" spans="1:18" ht="18.75">
      <c r="A16" s="176"/>
      <c r="B16" s="177" t="s">
        <v>12</v>
      </c>
      <c r="C16" s="179">
        <f>SUM(C10:C15)</f>
        <v>0</v>
      </c>
      <c r="D16" s="179">
        <f>SUM(D10:D15)</f>
        <v>0</v>
      </c>
      <c r="E16" s="179">
        <f>SUM(E10:E15)</f>
        <v>24098230</v>
      </c>
      <c r="F16" s="179">
        <f t="shared" ref="F16:P16" si="4">SUM(F10:F15)</f>
        <v>0</v>
      </c>
      <c r="G16" s="179">
        <f t="shared" si="4"/>
        <v>24098230</v>
      </c>
      <c r="H16" s="179">
        <f t="shared" si="4"/>
        <v>24098230</v>
      </c>
      <c r="I16" s="179">
        <f t="shared" si="4"/>
        <v>0</v>
      </c>
      <c r="J16" s="179">
        <f t="shared" si="4"/>
        <v>24098230</v>
      </c>
      <c r="K16" s="179">
        <f t="shared" si="4"/>
        <v>0</v>
      </c>
      <c r="L16" s="179">
        <f t="shared" si="4"/>
        <v>0</v>
      </c>
      <c r="M16" s="179">
        <f t="shared" si="4"/>
        <v>0</v>
      </c>
      <c r="N16" s="179">
        <f t="shared" si="4"/>
        <v>0</v>
      </c>
      <c r="O16" s="179">
        <f t="shared" si="4"/>
        <v>0</v>
      </c>
      <c r="P16" s="180">
        <f t="shared" si="4"/>
        <v>0</v>
      </c>
    </row>
    <row r="17" spans="1:16" ht="18.75">
      <c r="A17" s="1265"/>
      <c r="B17" s="1266"/>
      <c r="C17" s="1267"/>
      <c r="D17" s="1267"/>
      <c r="E17" s="1267"/>
      <c r="F17" s="1267"/>
      <c r="G17" s="1267"/>
      <c r="H17" s="1267"/>
      <c r="I17" s="1267"/>
      <c r="J17" s="1267"/>
      <c r="K17" s="1267"/>
      <c r="L17" s="1267"/>
      <c r="M17" s="1267"/>
      <c r="N17" s="1267"/>
      <c r="O17" s="1267"/>
      <c r="P17" s="1268"/>
    </row>
    <row r="20" spans="1:16">
      <c r="A20" s="1477" t="s">
        <v>20</v>
      </c>
      <c r="B20" s="1477"/>
      <c r="C20" s="1477"/>
      <c r="D20" s="1477"/>
      <c r="E20" s="1477"/>
      <c r="F20" s="1477"/>
      <c r="G20" s="1477"/>
      <c r="H20" s="1477"/>
      <c r="I20" s="1477"/>
      <c r="J20" s="1477"/>
      <c r="K20" s="1477"/>
      <c r="L20" s="1477"/>
      <c r="M20" s="1477"/>
      <c r="N20" s="1477"/>
      <c r="O20" s="1477"/>
      <c r="P20" s="1477"/>
    </row>
  </sheetData>
  <mergeCells count="16">
    <mergeCell ref="A1:P1"/>
    <mergeCell ref="A2:P2"/>
    <mergeCell ref="A3:P3"/>
    <mergeCell ref="B5:P5"/>
    <mergeCell ref="A6:P6"/>
    <mergeCell ref="O7:P7"/>
    <mergeCell ref="A20:P20"/>
    <mergeCell ref="A7:A8"/>
    <mergeCell ref="B7:B8"/>
    <mergeCell ref="G7:G8"/>
    <mergeCell ref="J7:J8"/>
    <mergeCell ref="C7:D7"/>
    <mergeCell ref="E7:F7"/>
    <mergeCell ref="H7:I7"/>
    <mergeCell ref="K7:L7"/>
    <mergeCell ref="M7:N7"/>
  </mergeCells>
  <printOptions horizontalCentered="1" verticalCentered="1"/>
  <pageMargins left="0" right="0" top="0" bottom="0" header="0.35433070866141703" footer="0.31496062992126"/>
  <pageSetup paperSize="9" scale="59" orientation="landscape" r:id="rId1"/>
  <headerFooter alignWithMargins="0"/>
  <colBreaks count="1" manualBreakCount="1">
    <brk id="16" max="1048575" man="1"/>
  </colBreaks>
  <ignoredErrors>
    <ignoredError sqref="E16:F16 H16:P16 C16:D16" formulaRange="1"/>
  </ignoredError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M19"/>
  <sheetViews>
    <sheetView view="pageBreakPreview" topLeftCell="A4" zoomScale="130" zoomScaleNormal="145" workbookViewId="0">
      <selection activeCell="B1" sqref="B1"/>
    </sheetView>
  </sheetViews>
  <sheetFormatPr defaultColWidth="9.140625" defaultRowHeight="15"/>
  <cols>
    <col min="1" max="1" width="38.85546875" style="155" customWidth="1"/>
    <col min="2" max="2" width="14.7109375" style="155" customWidth="1"/>
    <col min="3" max="3" width="25.5703125" style="155" customWidth="1"/>
    <col min="4" max="16384" width="9.140625" style="155"/>
  </cols>
  <sheetData>
    <row r="1" spans="1:13" ht="17.25">
      <c r="A1" s="156"/>
      <c r="B1" s="156" t="s">
        <v>1910</v>
      </c>
      <c r="C1" s="157"/>
      <c r="D1" s="157"/>
      <c r="E1" s="157"/>
      <c r="F1" s="157"/>
      <c r="G1" s="157"/>
      <c r="H1" s="157"/>
      <c r="I1" s="157"/>
      <c r="J1" s="157"/>
      <c r="K1" s="157"/>
      <c r="L1" s="157"/>
      <c r="M1" s="157"/>
    </row>
    <row r="2" spans="1:13" ht="17.25">
      <c r="A2" s="156"/>
      <c r="B2" s="156" t="s">
        <v>43</v>
      </c>
      <c r="C2" s="157"/>
      <c r="D2" s="157"/>
      <c r="E2" s="157"/>
      <c r="F2" s="157"/>
      <c r="G2" s="157"/>
      <c r="H2" s="157"/>
      <c r="I2" s="157"/>
      <c r="J2" s="157"/>
      <c r="K2" s="157"/>
      <c r="L2" s="157"/>
      <c r="M2" s="157"/>
    </row>
    <row r="3" spans="1:13" ht="21" customHeight="1">
      <c r="C3" s="158" t="s">
        <v>1386</v>
      </c>
    </row>
    <row r="4" spans="1:13" ht="21" customHeight="1">
      <c r="C4" s="159"/>
    </row>
    <row r="5" spans="1:13" ht="15.75">
      <c r="A5" s="1638" t="s">
        <v>1387</v>
      </c>
      <c r="B5" s="1638"/>
      <c r="C5" s="1638"/>
    </row>
    <row r="6" spans="1:13">
      <c r="C6" s="160" t="s">
        <v>1388</v>
      </c>
    </row>
    <row r="7" spans="1:13">
      <c r="A7" s="161"/>
      <c r="B7" s="162"/>
      <c r="C7" s="163"/>
    </row>
    <row r="8" spans="1:13" ht="15.75">
      <c r="A8" s="164" t="s">
        <v>1389</v>
      </c>
      <c r="C8" s="165"/>
    </row>
    <row r="9" spans="1:13">
      <c r="A9" s="166" t="s">
        <v>1390</v>
      </c>
      <c r="C9" s="167"/>
    </row>
    <row r="10" spans="1:13">
      <c r="A10" s="168"/>
      <c r="C10" s="165"/>
    </row>
    <row r="11" spans="1:13" ht="15.75">
      <c r="A11" s="164" t="s">
        <v>1391</v>
      </c>
      <c r="C11" s="165"/>
    </row>
    <row r="12" spans="1:13">
      <c r="A12" s="166" t="s">
        <v>1392</v>
      </c>
      <c r="C12" s="167"/>
    </row>
    <row r="13" spans="1:13" ht="45.75" customHeight="1">
      <c r="A13" s="169"/>
      <c r="B13" s="170"/>
      <c r="C13" s="171"/>
    </row>
    <row r="15" spans="1:13">
      <c r="A15" s="1639" t="s">
        <v>1393</v>
      </c>
      <c r="B15" s="1639"/>
      <c r="C15" s="1639"/>
    </row>
    <row r="19" spans="1:4">
      <c r="A19" s="1374" t="s">
        <v>20</v>
      </c>
      <c r="B19" s="1374"/>
      <c r="C19" s="1374"/>
      <c r="D19" s="1374"/>
    </row>
  </sheetData>
  <mergeCells count="3">
    <mergeCell ref="A5:C5"/>
    <mergeCell ref="A15:C15"/>
    <mergeCell ref="A19:D19"/>
  </mergeCells>
  <printOptions horizontalCentered="1" verticalCentered="1"/>
  <pageMargins left="0" right="0" top="0" bottom="0" header="0.35433070866141703" footer="0.31496062992126"/>
  <pageSetup paperSize="9" scale="9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95"/>
  <sheetViews>
    <sheetView view="pageBreakPreview" topLeftCell="A52" zoomScale="85" zoomScaleNormal="100" workbookViewId="0">
      <selection activeCell="A2" sqref="A2:G2"/>
    </sheetView>
  </sheetViews>
  <sheetFormatPr defaultColWidth="11" defaultRowHeight="12.75"/>
  <cols>
    <col min="1" max="1" width="5.28515625" style="139" customWidth="1"/>
    <col min="2" max="2" width="53.85546875" style="139" customWidth="1"/>
    <col min="3" max="3" width="17" style="139" customWidth="1"/>
    <col min="4" max="4" width="26.42578125" style="139" customWidth="1"/>
    <col min="5" max="5" width="24.140625" style="140" customWidth="1"/>
    <col min="6" max="7" width="20.42578125" style="139" customWidth="1"/>
    <col min="8" max="16384" width="11" style="139"/>
  </cols>
  <sheetData>
    <row r="1" spans="1:7" ht="15.75">
      <c r="G1" s="132" t="s">
        <v>1394</v>
      </c>
    </row>
    <row r="2" spans="1:7" ht="18.75">
      <c r="A2" s="1640" t="s">
        <v>1910</v>
      </c>
      <c r="B2" s="1640"/>
      <c r="C2" s="1640"/>
      <c r="D2" s="1640"/>
      <c r="E2" s="1640"/>
      <c r="F2" s="1640"/>
      <c r="G2" s="1640"/>
    </row>
    <row r="3" spans="1:7" ht="18.75">
      <c r="A3" s="1640" t="s">
        <v>43</v>
      </c>
      <c r="B3" s="1640"/>
      <c r="C3" s="1640"/>
      <c r="D3" s="1640"/>
      <c r="E3" s="1640"/>
      <c r="F3" s="1640"/>
      <c r="G3" s="1640"/>
    </row>
    <row r="4" spans="1:7" ht="20.25" customHeight="1">
      <c r="A4" s="1641" t="s">
        <v>1395</v>
      </c>
      <c r="B4" s="1641"/>
      <c r="C4" s="1641"/>
      <c r="D4" s="1641"/>
      <c r="E4" s="1641"/>
      <c r="F4" s="1641"/>
      <c r="G4" s="1641"/>
    </row>
    <row r="5" spans="1:7">
      <c r="A5" s="141"/>
    </row>
    <row r="6" spans="1:7" ht="15.75">
      <c r="A6" s="142" t="s">
        <v>796</v>
      </c>
      <c r="B6" s="142" t="s">
        <v>1396</v>
      </c>
      <c r="C6" s="142" t="s">
        <v>1397</v>
      </c>
      <c r="D6" s="142" t="s">
        <v>1398</v>
      </c>
      <c r="E6" s="142" t="s">
        <v>491</v>
      </c>
      <c r="F6" s="142" t="s">
        <v>1399</v>
      </c>
      <c r="G6" s="142" t="s">
        <v>1400</v>
      </c>
    </row>
    <row r="7" spans="1:7" ht="15.75">
      <c r="A7" s="143"/>
      <c r="B7" s="143" t="s">
        <v>1401</v>
      </c>
      <c r="C7" s="143" t="s">
        <v>1402</v>
      </c>
      <c r="D7" s="143" t="s">
        <v>1403</v>
      </c>
      <c r="E7" s="143" t="s">
        <v>1238</v>
      </c>
      <c r="F7" s="143" t="s">
        <v>1404</v>
      </c>
      <c r="G7" s="143" t="s">
        <v>1405</v>
      </c>
    </row>
    <row r="8" spans="1:7" ht="15.75">
      <c r="A8" s="143"/>
      <c r="B8" s="143"/>
      <c r="C8" s="143" t="s">
        <v>1406</v>
      </c>
      <c r="D8" s="143" t="s">
        <v>1407</v>
      </c>
      <c r="E8" s="143"/>
      <c r="F8" s="143" t="s">
        <v>1408</v>
      </c>
      <c r="G8" s="143" t="s">
        <v>1409</v>
      </c>
    </row>
    <row r="9" spans="1:7" ht="15.75">
      <c r="A9" s="144"/>
      <c r="B9" s="144"/>
      <c r="C9" s="144" t="s">
        <v>1410</v>
      </c>
      <c r="D9" s="144"/>
      <c r="E9" s="144"/>
      <c r="F9" s="144" t="s">
        <v>1411</v>
      </c>
      <c r="G9" s="144" t="s">
        <v>1412</v>
      </c>
    </row>
    <row r="10" spans="1:7" ht="15.75">
      <c r="A10" s="107" t="s">
        <v>151</v>
      </c>
      <c r="B10" s="111" t="s">
        <v>586</v>
      </c>
      <c r="C10" s="107"/>
      <c r="D10" s="111"/>
      <c r="E10" s="112"/>
      <c r="F10" s="111"/>
      <c r="G10" s="107"/>
    </row>
    <row r="11" spans="1:7" ht="15.75">
      <c r="A11" s="107">
        <v>1</v>
      </c>
      <c r="B11" s="1174" t="s">
        <v>1815</v>
      </c>
      <c r="C11" s="145" t="s">
        <v>1413</v>
      </c>
      <c r="D11" s="145" t="s">
        <v>1414</v>
      </c>
      <c r="E11" s="146">
        <v>34400000</v>
      </c>
      <c r="F11" s="111" t="s">
        <v>1415</v>
      </c>
      <c r="G11" s="147">
        <v>44652</v>
      </c>
    </row>
    <row r="12" spans="1:7" ht="16.5" thickBot="1">
      <c r="A12" s="107">
        <v>2</v>
      </c>
      <c r="B12" s="1175" t="s">
        <v>1816</v>
      </c>
      <c r="C12" s="145" t="s">
        <v>1413</v>
      </c>
      <c r="D12" s="145" t="s">
        <v>1416</v>
      </c>
      <c r="E12" s="112">
        <v>10000000</v>
      </c>
      <c r="F12" s="111" t="s">
        <v>722</v>
      </c>
      <c r="G12" s="147">
        <v>44652</v>
      </c>
    </row>
    <row r="13" spans="1:7" ht="15.75">
      <c r="A13" s="107">
        <v>3</v>
      </c>
      <c r="B13" s="1176" t="s">
        <v>1817</v>
      </c>
      <c r="C13" s="145" t="s">
        <v>1413</v>
      </c>
      <c r="D13" s="145" t="s">
        <v>1416</v>
      </c>
      <c r="E13" s="112">
        <v>27047000</v>
      </c>
      <c r="F13" s="111" t="s">
        <v>1417</v>
      </c>
      <c r="G13" s="147">
        <v>44652</v>
      </c>
    </row>
    <row r="14" spans="1:7" ht="15.75">
      <c r="A14" s="107">
        <v>4</v>
      </c>
      <c r="B14" s="1175" t="s">
        <v>1818</v>
      </c>
      <c r="C14" s="145" t="s">
        <v>1413</v>
      </c>
      <c r="D14" s="145" t="s">
        <v>1416</v>
      </c>
      <c r="E14" s="112">
        <v>82500000</v>
      </c>
      <c r="F14" s="111" t="s">
        <v>1425</v>
      </c>
      <c r="G14" s="147">
        <v>44652</v>
      </c>
    </row>
    <row r="15" spans="1:7" ht="16.5" thickBot="1">
      <c r="A15" s="107">
        <v>5</v>
      </c>
      <c r="B15" s="1177" t="s">
        <v>1819</v>
      </c>
      <c r="C15" s="145" t="s">
        <v>1413</v>
      </c>
      <c r="D15" s="145" t="s">
        <v>1416</v>
      </c>
      <c r="E15" s="112">
        <v>636000</v>
      </c>
      <c r="F15" s="111" t="s">
        <v>1418</v>
      </c>
      <c r="G15" s="147">
        <v>44652</v>
      </c>
    </row>
    <row r="16" spans="1:7" ht="16.5" thickBot="1">
      <c r="A16" s="107"/>
      <c r="B16" s="1174" t="s">
        <v>1820</v>
      </c>
      <c r="C16" s="145" t="s">
        <v>1413</v>
      </c>
      <c r="D16" s="145" t="s">
        <v>1416</v>
      </c>
      <c r="E16" s="112">
        <v>1909000</v>
      </c>
      <c r="F16" s="111" t="s">
        <v>1419</v>
      </c>
      <c r="G16" s="147">
        <v>44652</v>
      </c>
    </row>
    <row r="17" spans="1:7" ht="15.75">
      <c r="A17" s="107"/>
      <c r="B17" s="1176" t="s">
        <v>1821</v>
      </c>
      <c r="C17" s="145" t="s">
        <v>1413</v>
      </c>
      <c r="D17" s="145" t="s">
        <v>1416</v>
      </c>
      <c r="E17" s="112">
        <v>955000</v>
      </c>
      <c r="F17" s="111" t="s">
        <v>1420</v>
      </c>
      <c r="G17" s="147">
        <v>44652</v>
      </c>
    </row>
    <row r="18" spans="1:7" ht="15.75">
      <c r="A18" s="107"/>
      <c r="B18" s="1178" t="s">
        <v>1822</v>
      </c>
      <c r="C18" s="145" t="s">
        <v>1413</v>
      </c>
      <c r="D18" s="145" t="s">
        <v>1416</v>
      </c>
      <c r="E18" s="112">
        <v>90000</v>
      </c>
      <c r="F18" s="111" t="s">
        <v>1421</v>
      </c>
      <c r="G18" s="147">
        <v>44652</v>
      </c>
    </row>
    <row r="19" spans="1:7" ht="15.75">
      <c r="A19" s="107"/>
      <c r="B19" s="1175" t="s">
        <v>1823</v>
      </c>
      <c r="C19" s="145" t="s">
        <v>1413</v>
      </c>
      <c r="D19" s="145" t="s">
        <v>1416</v>
      </c>
      <c r="E19" s="112">
        <v>450000</v>
      </c>
      <c r="F19" s="111" t="s">
        <v>1422</v>
      </c>
      <c r="G19" s="147">
        <v>44652</v>
      </c>
    </row>
    <row r="20" spans="1:7" ht="15.75">
      <c r="A20" s="107"/>
      <c r="B20" s="1174" t="s">
        <v>1824</v>
      </c>
      <c r="C20" s="145" t="s">
        <v>1413</v>
      </c>
      <c r="D20" s="145" t="s">
        <v>1416</v>
      </c>
      <c r="E20" s="112">
        <v>270000</v>
      </c>
      <c r="F20" s="111" t="s">
        <v>1423</v>
      </c>
      <c r="G20" s="147">
        <v>44652</v>
      </c>
    </row>
    <row r="21" spans="1:7" ht="15.75">
      <c r="A21" s="107"/>
      <c r="B21" s="1174" t="s">
        <v>1825</v>
      </c>
      <c r="C21" s="145" t="s">
        <v>1413</v>
      </c>
      <c r="D21" s="145" t="s">
        <v>1416</v>
      </c>
      <c r="E21" s="112">
        <v>2025000</v>
      </c>
      <c r="F21" s="111" t="s">
        <v>1424</v>
      </c>
      <c r="G21" s="147">
        <v>44652</v>
      </c>
    </row>
    <row r="22" spans="1:7" ht="15.75">
      <c r="A22" s="107"/>
      <c r="B22" s="1175" t="s">
        <v>1826</v>
      </c>
      <c r="C22" s="145" t="s">
        <v>1413</v>
      </c>
      <c r="D22" s="145" t="s">
        <v>1416</v>
      </c>
      <c r="E22" s="112">
        <v>10000000</v>
      </c>
      <c r="F22" s="111" t="s">
        <v>722</v>
      </c>
      <c r="G22" s="147">
        <v>44743</v>
      </c>
    </row>
    <row r="23" spans="1:7" ht="15.75">
      <c r="A23" s="107"/>
      <c r="B23" s="1175" t="s">
        <v>1827</v>
      </c>
      <c r="C23" s="145" t="s">
        <v>1413</v>
      </c>
      <c r="D23" s="145" t="s">
        <v>1416</v>
      </c>
      <c r="E23" s="112">
        <v>96250000</v>
      </c>
      <c r="F23" s="111" t="s">
        <v>590</v>
      </c>
      <c r="G23" s="147">
        <v>44743</v>
      </c>
    </row>
    <row r="24" spans="1:7" ht="15.75">
      <c r="A24" s="107"/>
      <c r="B24" s="1175" t="s">
        <v>1828</v>
      </c>
      <c r="C24" s="145" t="s">
        <v>1413</v>
      </c>
      <c r="D24" s="145" t="s">
        <v>1416</v>
      </c>
      <c r="E24" s="112">
        <v>500000</v>
      </c>
      <c r="F24" s="111" t="s">
        <v>1418</v>
      </c>
      <c r="G24" s="147">
        <v>44743</v>
      </c>
    </row>
    <row r="25" spans="1:7" ht="16.5" thickBot="1">
      <c r="A25" s="107"/>
      <c r="B25" s="1175" t="s">
        <v>1829</v>
      </c>
      <c r="C25" s="145" t="s">
        <v>1413</v>
      </c>
      <c r="D25" s="145" t="s">
        <v>1416</v>
      </c>
      <c r="E25" s="112">
        <v>150000</v>
      </c>
      <c r="F25" s="111" t="s">
        <v>1421</v>
      </c>
      <c r="G25" s="147">
        <v>44743</v>
      </c>
    </row>
    <row r="26" spans="1:7" ht="16.5" thickBot="1">
      <c r="A26" s="107"/>
      <c r="B26" s="1179" t="s">
        <v>1830</v>
      </c>
      <c r="C26" s="145" t="s">
        <v>1413</v>
      </c>
      <c r="D26" s="145" t="s">
        <v>1416</v>
      </c>
      <c r="E26" s="112">
        <v>750000</v>
      </c>
      <c r="F26" s="111" t="s">
        <v>1420</v>
      </c>
      <c r="G26" s="147">
        <v>44743</v>
      </c>
    </row>
    <row r="27" spans="1:7" ht="15.75">
      <c r="A27" s="107"/>
      <c r="B27" s="1175" t="s">
        <v>1831</v>
      </c>
      <c r="C27" s="145" t="s">
        <v>1413</v>
      </c>
      <c r="D27" s="145" t="s">
        <v>1416</v>
      </c>
      <c r="E27" s="112">
        <v>450000</v>
      </c>
      <c r="F27" s="111" t="s">
        <v>1423</v>
      </c>
      <c r="G27" s="147">
        <v>44743</v>
      </c>
    </row>
    <row r="28" spans="1:7" ht="15.75">
      <c r="A28" s="107"/>
      <c r="B28" s="1180" t="s">
        <v>1832</v>
      </c>
      <c r="C28" s="145" t="s">
        <v>1413</v>
      </c>
      <c r="D28" s="145" t="s">
        <v>1416</v>
      </c>
      <c r="E28" s="112">
        <v>1500000</v>
      </c>
      <c r="F28" s="111" t="s">
        <v>1419</v>
      </c>
      <c r="G28" s="147">
        <v>44743</v>
      </c>
    </row>
    <row r="29" spans="1:7" ht="15.75">
      <c r="A29" s="107"/>
      <c r="B29" s="1175" t="s">
        <v>1833</v>
      </c>
      <c r="C29" s="145" t="s">
        <v>1413</v>
      </c>
      <c r="D29" s="145" t="s">
        <v>1416</v>
      </c>
      <c r="E29" s="112">
        <v>750000</v>
      </c>
      <c r="F29" s="111" t="s">
        <v>1422</v>
      </c>
      <c r="G29" s="147">
        <v>44743</v>
      </c>
    </row>
    <row r="30" spans="1:7" ht="15.75">
      <c r="A30" s="107"/>
      <c r="B30" s="1181" t="s">
        <v>1822</v>
      </c>
      <c r="C30" s="145" t="s">
        <v>1413</v>
      </c>
      <c r="D30" s="145" t="s">
        <v>1416</v>
      </c>
      <c r="E30" s="112">
        <v>3375000</v>
      </c>
      <c r="F30" s="111" t="s">
        <v>1424</v>
      </c>
      <c r="G30" s="147">
        <v>44743</v>
      </c>
    </row>
    <row r="31" spans="1:7" ht="16.5" thickBot="1">
      <c r="A31" s="107"/>
      <c r="B31" s="1175" t="s">
        <v>1834</v>
      </c>
      <c r="C31" s="145" t="s">
        <v>1413</v>
      </c>
      <c r="D31" s="145" t="s">
        <v>1416</v>
      </c>
      <c r="E31" s="112">
        <v>21250000</v>
      </c>
      <c r="F31" s="111" t="s">
        <v>1417</v>
      </c>
      <c r="G31" s="147">
        <v>44743</v>
      </c>
    </row>
    <row r="32" spans="1:7" ht="16.5" thickBot="1">
      <c r="A32" s="107"/>
      <c r="B32" s="1179" t="s">
        <v>1835</v>
      </c>
      <c r="C32" s="145" t="s">
        <v>1413</v>
      </c>
      <c r="D32" s="145" t="s">
        <v>1416</v>
      </c>
      <c r="E32" s="112">
        <v>1523000</v>
      </c>
      <c r="F32" s="111" t="s">
        <v>722</v>
      </c>
      <c r="G32" s="147">
        <v>44835</v>
      </c>
    </row>
    <row r="33" spans="1:7" ht="15.75">
      <c r="A33" s="107"/>
      <c r="B33" s="1175" t="s">
        <v>1836</v>
      </c>
      <c r="C33" s="145" t="s">
        <v>1413</v>
      </c>
      <c r="D33" s="145" t="s">
        <v>1416</v>
      </c>
      <c r="E33" s="112">
        <v>86619000</v>
      </c>
      <c r="F33" s="111" t="s">
        <v>1415</v>
      </c>
      <c r="G33" s="147">
        <v>44835</v>
      </c>
    </row>
    <row r="34" spans="1:7" ht="15.75">
      <c r="A34" s="107"/>
      <c r="B34" s="1182" t="s">
        <v>1837</v>
      </c>
      <c r="C34" s="145" t="s">
        <v>1413</v>
      </c>
      <c r="D34" s="145" t="s">
        <v>1416</v>
      </c>
      <c r="E34" s="112">
        <v>2249000</v>
      </c>
      <c r="F34" s="111" t="s">
        <v>1424</v>
      </c>
      <c r="G34" s="147">
        <v>44835</v>
      </c>
    </row>
    <row r="35" spans="1:7" ht="15.75">
      <c r="A35" s="107"/>
      <c r="B35" s="1175" t="s">
        <v>1838</v>
      </c>
      <c r="C35" s="145" t="s">
        <v>1413</v>
      </c>
      <c r="D35" s="145" t="s">
        <v>1416</v>
      </c>
      <c r="E35" s="112">
        <v>750000</v>
      </c>
      <c r="F35" s="111" t="s">
        <v>1422</v>
      </c>
      <c r="G35" s="147">
        <v>44835</v>
      </c>
    </row>
    <row r="36" spans="1:7" ht="15.75">
      <c r="A36" s="107"/>
      <c r="B36" s="1175" t="s">
        <v>1839</v>
      </c>
      <c r="C36" s="145" t="s">
        <v>1413</v>
      </c>
      <c r="D36" s="145" t="s">
        <v>1416</v>
      </c>
      <c r="E36" s="112">
        <v>450000</v>
      </c>
      <c r="F36" s="111" t="s">
        <v>1423</v>
      </c>
      <c r="G36" s="147">
        <v>44835</v>
      </c>
    </row>
    <row r="37" spans="1:7" ht="15.75">
      <c r="A37" s="107"/>
      <c r="B37" s="1175" t="s">
        <v>1829</v>
      </c>
      <c r="C37" s="145" t="s">
        <v>1413</v>
      </c>
      <c r="D37" s="145" t="s">
        <v>1416</v>
      </c>
      <c r="E37" s="112">
        <v>150000</v>
      </c>
      <c r="F37" s="111" t="s">
        <v>1421</v>
      </c>
      <c r="G37" s="147">
        <v>44835</v>
      </c>
    </row>
    <row r="38" spans="1:7" ht="15.75">
      <c r="A38" s="107"/>
      <c r="B38" s="1180" t="s">
        <v>1840</v>
      </c>
      <c r="C38" s="145" t="s">
        <v>1413</v>
      </c>
      <c r="D38" s="145" t="s">
        <v>1416</v>
      </c>
      <c r="E38" s="112">
        <v>21250000</v>
      </c>
      <c r="F38" s="111" t="s">
        <v>1417</v>
      </c>
      <c r="G38" s="147">
        <v>44835</v>
      </c>
    </row>
    <row r="39" spans="1:7" ht="15.75">
      <c r="A39" s="107"/>
      <c r="B39" s="1175" t="s">
        <v>1841</v>
      </c>
      <c r="C39" s="145" t="s">
        <v>1413</v>
      </c>
      <c r="D39" s="145" t="s">
        <v>1416</v>
      </c>
      <c r="E39" s="112">
        <v>1500000</v>
      </c>
      <c r="F39" s="111" t="s">
        <v>1419</v>
      </c>
      <c r="G39" s="147">
        <v>44835</v>
      </c>
    </row>
    <row r="40" spans="1:7" ht="15.75">
      <c r="A40" s="107"/>
      <c r="B40" s="1175" t="s">
        <v>1842</v>
      </c>
      <c r="C40" s="145" t="s">
        <v>1413</v>
      </c>
      <c r="D40" s="145" t="s">
        <v>1416</v>
      </c>
      <c r="E40" s="112">
        <v>750000</v>
      </c>
      <c r="F40" s="111" t="s">
        <v>1420</v>
      </c>
      <c r="G40" s="147">
        <v>44835</v>
      </c>
    </row>
    <row r="41" spans="1:7" ht="15.75">
      <c r="A41" s="107"/>
      <c r="B41" s="1175" t="s">
        <v>1843</v>
      </c>
      <c r="C41" s="145" t="s">
        <v>1413</v>
      </c>
      <c r="D41" s="145" t="s">
        <v>1416</v>
      </c>
      <c r="E41" s="112">
        <v>500000</v>
      </c>
      <c r="F41" s="111" t="s">
        <v>1418</v>
      </c>
      <c r="G41" s="147">
        <v>44835</v>
      </c>
    </row>
    <row r="42" spans="1:7" ht="15.75">
      <c r="A42" s="107"/>
      <c r="B42" s="1180" t="s">
        <v>1844</v>
      </c>
      <c r="C42" s="145" t="s">
        <v>1413</v>
      </c>
      <c r="D42" s="145" t="s">
        <v>1416</v>
      </c>
      <c r="E42" s="112">
        <v>5000000</v>
      </c>
      <c r="F42" s="111" t="s">
        <v>722</v>
      </c>
      <c r="G42" s="147">
        <v>44896</v>
      </c>
    </row>
    <row r="43" spans="1:7" ht="15.75">
      <c r="A43" s="107"/>
      <c r="B43" s="1175" t="s">
        <v>1845</v>
      </c>
      <c r="C43" s="145" t="s">
        <v>1413</v>
      </c>
      <c r="D43" s="145" t="s">
        <v>1416</v>
      </c>
      <c r="E43" s="148">
        <v>18165000</v>
      </c>
      <c r="F43" s="111" t="s">
        <v>1425</v>
      </c>
      <c r="G43" s="147">
        <v>44896</v>
      </c>
    </row>
    <row r="44" spans="1:7" ht="15.75">
      <c r="A44" s="107"/>
      <c r="B44" s="1175" t="s">
        <v>1846</v>
      </c>
      <c r="C44" s="145" t="s">
        <v>1413</v>
      </c>
      <c r="D44" s="145" t="s">
        <v>1416</v>
      </c>
      <c r="E44" s="149">
        <v>2500000</v>
      </c>
      <c r="F44" s="111" t="s">
        <v>722</v>
      </c>
      <c r="G44" s="147">
        <v>44927</v>
      </c>
    </row>
    <row r="45" spans="1:7" ht="15.75">
      <c r="A45" s="107"/>
      <c r="B45" s="1174" t="s">
        <v>1847</v>
      </c>
      <c r="C45" s="145" t="s">
        <v>1413</v>
      </c>
      <c r="D45" s="145" t="s">
        <v>1416</v>
      </c>
      <c r="E45" s="148">
        <v>4388000</v>
      </c>
      <c r="F45" s="111" t="s">
        <v>1424</v>
      </c>
      <c r="G45" s="147">
        <v>44927</v>
      </c>
    </row>
    <row r="46" spans="1:7" ht="15.75">
      <c r="A46" s="107"/>
      <c r="B46" s="1174" t="s">
        <v>1848</v>
      </c>
      <c r="C46" s="145" t="s">
        <v>1413</v>
      </c>
      <c r="D46" s="145" t="s">
        <v>1416</v>
      </c>
      <c r="E46" s="148">
        <v>1050000</v>
      </c>
      <c r="F46" s="111" t="s">
        <v>1422</v>
      </c>
      <c r="G46" s="147">
        <v>44927</v>
      </c>
    </row>
    <row r="47" spans="1:7" ht="15.75">
      <c r="A47" s="107"/>
      <c r="B47" s="1174" t="s">
        <v>1849</v>
      </c>
      <c r="C47" s="145" t="s">
        <v>1413</v>
      </c>
      <c r="D47" s="145" t="s">
        <v>1416</v>
      </c>
      <c r="E47" s="148">
        <v>630000</v>
      </c>
      <c r="F47" s="111" t="s">
        <v>1423</v>
      </c>
      <c r="G47" s="147">
        <v>44927</v>
      </c>
    </row>
    <row r="48" spans="1:7" ht="16.5" thickBot="1">
      <c r="A48" s="107"/>
      <c r="B48" s="1174" t="s">
        <v>1850</v>
      </c>
      <c r="C48" s="145" t="s">
        <v>1413</v>
      </c>
      <c r="D48" s="145" t="s">
        <v>1416</v>
      </c>
      <c r="E48" s="148">
        <v>210000</v>
      </c>
      <c r="F48" s="111" t="s">
        <v>1421</v>
      </c>
      <c r="G48" s="147">
        <v>44927</v>
      </c>
    </row>
    <row r="49" spans="1:7" ht="15.75">
      <c r="A49" s="107"/>
      <c r="B49" s="1183" t="s">
        <v>1851</v>
      </c>
      <c r="C49" s="145" t="s">
        <v>1413</v>
      </c>
      <c r="D49" s="145" t="s">
        <v>1416</v>
      </c>
      <c r="E49" s="112">
        <v>11590000</v>
      </c>
      <c r="F49" s="111" t="s">
        <v>1417</v>
      </c>
      <c r="G49" s="147">
        <v>44927</v>
      </c>
    </row>
    <row r="50" spans="1:7" ht="15.75">
      <c r="A50" s="107"/>
      <c r="B50" s="1184" t="s">
        <v>1852</v>
      </c>
      <c r="C50" s="145" t="s">
        <v>1413</v>
      </c>
      <c r="D50" s="145" t="s">
        <v>1416</v>
      </c>
      <c r="E50" s="112">
        <v>1091000</v>
      </c>
      <c r="F50" s="111" t="s">
        <v>1419</v>
      </c>
      <c r="G50" s="147">
        <v>44927</v>
      </c>
    </row>
    <row r="51" spans="1:7" ht="16.5" thickBot="1">
      <c r="A51" s="107" t="s">
        <v>595</v>
      </c>
      <c r="B51" s="1177" t="s">
        <v>1853</v>
      </c>
      <c r="C51" s="145" t="s">
        <v>1413</v>
      </c>
      <c r="D51" s="145" t="s">
        <v>1416</v>
      </c>
      <c r="E51" s="112">
        <v>545000</v>
      </c>
      <c r="F51" s="111" t="s">
        <v>1420</v>
      </c>
      <c r="G51" s="147">
        <v>44927</v>
      </c>
    </row>
    <row r="52" spans="1:7" ht="15.75">
      <c r="A52" s="107">
        <v>1</v>
      </c>
      <c r="B52" s="1174" t="s">
        <v>1854</v>
      </c>
      <c r="C52" s="145" t="s">
        <v>1413</v>
      </c>
      <c r="D52" s="145" t="s">
        <v>1416</v>
      </c>
      <c r="E52" s="112">
        <v>364000</v>
      </c>
      <c r="F52" s="111" t="s">
        <v>1418</v>
      </c>
      <c r="G52" s="147">
        <v>44927</v>
      </c>
    </row>
    <row r="53" spans="1:7" ht="15.75">
      <c r="A53" s="107">
        <v>2</v>
      </c>
      <c r="B53" s="1175" t="s">
        <v>1855</v>
      </c>
      <c r="C53" s="145" t="s">
        <v>1413</v>
      </c>
      <c r="D53" s="145" t="s">
        <v>1416</v>
      </c>
      <c r="E53" s="112">
        <v>10000000</v>
      </c>
      <c r="F53" s="111" t="s">
        <v>1417</v>
      </c>
      <c r="G53" s="147">
        <v>44927</v>
      </c>
    </row>
    <row r="54" spans="1:7" ht="15.75">
      <c r="A54" s="107">
        <v>3</v>
      </c>
      <c r="B54" s="1175" t="s">
        <v>1856</v>
      </c>
      <c r="C54" s="145" t="s">
        <v>1413</v>
      </c>
      <c r="D54" s="145" t="s">
        <v>1416</v>
      </c>
      <c r="E54" s="112">
        <v>3863000</v>
      </c>
      <c r="F54" s="111" t="s">
        <v>1417</v>
      </c>
      <c r="G54" s="147">
        <v>44927</v>
      </c>
    </row>
    <row r="55" spans="1:7" ht="16.5" thickBot="1">
      <c r="A55" s="107">
        <v>4</v>
      </c>
      <c r="B55" s="1175" t="s">
        <v>1857</v>
      </c>
      <c r="C55" s="145" t="s">
        <v>1413</v>
      </c>
      <c r="D55" s="145" t="s">
        <v>1416</v>
      </c>
      <c r="E55" s="112">
        <v>10500000</v>
      </c>
      <c r="F55" s="111" t="s">
        <v>722</v>
      </c>
      <c r="G55" s="147">
        <v>44927</v>
      </c>
    </row>
    <row r="56" spans="1:7" ht="16.5" thickBot="1">
      <c r="A56" s="107">
        <v>5</v>
      </c>
      <c r="B56" s="1185" t="s">
        <v>1858</v>
      </c>
      <c r="C56" s="145" t="s">
        <v>1413</v>
      </c>
      <c r="D56" s="145" t="s">
        <v>1416</v>
      </c>
      <c r="E56" s="112">
        <v>30000000</v>
      </c>
      <c r="F56" s="111" t="s">
        <v>590</v>
      </c>
      <c r="G56" s="147">
        <v>44958</v>
      </c>
    </row>
    <row r="57" spans="1:7" ht="15.75">
      <c r="A57" s="107"/>
      <c r="B57" s="1186" t="s">
        <v>1859</v>
      </c>
      <c r="C57" s="145" t="s">
        <v>1413</v>
      </c>
      <c r="D57" s="145" t="s">
        <v>1416</v>
      </c>
      <c r="E57" s="112">
        <v>1463000</v>
      </c>
      <c r="F57" s="111" t="s">
        <v>734</v>
      </c>
      <c r="G57" s="147">
        <v>44958</v>
      </c>
    </row>
    <row r="58" spans="1:7" ht="15.75">
      <c r="A58" s="107"/>
      <c r="B58" s="1175" t="s">
        <v>1860</v>
      </c>
      <c r="C58" s="145" t="s">
        <v>1413</v>
      </c>
      <c r="D58" s="145" t="s">
        <v>1416</v>
      </c>
      <c r="E58" s="112">
        <v>5000000</v>
      </c>
      <c r="F58" s="111" t="s">
        <v>1417</v>
      </c>
      <c r="G58" s="147">
        <v>44986</v>
      </c>
    </row>
    <row r="59" spans="1:7" ht="16.5" thickBot="1">
      <c r="A59" s="107"/>
      <c r="B59" s="1175" t="s">
        <v>1861</v>
      </c>
      <c r="C59" s="145" t="s">
        <v>1413</v>
      </c>
      <c r="D59" s="145" t="s">
        <v>1416</v>
      </c>
      <c r="E59" s="112">
        <v>2000000</v>
      </c>
      <c r="F59" s="111" t="s">
        <v>1417</v>
      </c>
      <c r="G59" s="147">
        <v>44986</v>
      </c>
    </row>
    <row r="60" spans="1:7" ht="16.5" thickBot="1">
      <c r="A60" s="107"/>
      <c r="B60" s="1185" t="s">
        <v>1862</v>
      </c>
      <c r="C60" s="145" t="s">
        <v>1413</v>
      </c>
      <c r="D60" s="145" t="s">
        <v>1416</v>
      </c>
      <c r="E60" s="112">
        <v>9716000</v>
      </c>
      <c r="F60" s="111" t="s">
        <v>1425</v>
      </c>
      <c r="G60" s="147">
        <v>44986</v>
      </c>
    </row>
    <row r="61" spans="1:7" ht="16.5" thickBot="1">
      <c r="A61" s="107"/>
      <c r="B61" s="1187" t="s">
        <v>1863</v>
      </c>
      <c r="C61" s="145" t="s">
        <v>1413</v>
      </c>
      <c r="D61" s="145" t="s">
        <v>1416</v>
      </c>
      <c r="E61" s="112">
        <v>1200000</v>
      </c>
      <c r="F61" s="111" t="s">
        <v>722</v>
      </c>
      <c r="G61" s="147">
        <v>44986</v>
      </c>
    </row>
    <row r="62" spans="1:7" ht="15.75">
      <c r="A62" s="107"/>
      <c r="B62" s="111"/>
      <c r="C62" s="107"/>
      <c r="D62" s="107"/>
      <c r="E62" s="112"/>
      <c r="F62" s="111"/>
      <c r="G62" s="107"/>
    </row>
    <row r="63" spans="1:7" ht="15.75">
      <c r="A63" s="107"/>
      <c r="B63" s="111"/>
      <c r="C63" s="107"/>
      <c r="D63" s="119" t="s">
        <v>12</v>
      </c>
      <c r="E63" s="130">
        <f>SUM(E11:E62)</f>
        <v>530273000</v>
      </c>
      <c r="F63" s="111"/>
      <c r="G63" s="107"/>
    </row>
    <row r="64" spans="1:7" ht="15.75">
      <c r="A64" s="107"/>
      <c r="B64" s="111"/>
      <c r="C64" s="107"/>
      <c r="D64" s="111"/>
      <c r="E64" s="112"/>
      <c r="F64" s="111"/>
      <c r="G64" s="107"/>
    </row>
    <row r="65" spans="1:7" ht="15.75">
      <c r="A65" s="107" t="s">
        <v>1426</v>
      </c>
      <c r="B65" s="111" t="s">
        <v>1427</v>
      </c>
      <c r="C65" s="107"/>
      <c r="D65" s="111"/>
      <c r="E65" s="112"/>
      <c r="F65" s="111"/>
      <c r="G65" s="107"/>
    </row>
    <row r="66" spans="1:7" ht="15.75">
      <c r="A66" s="107"/>
      <c r="B66" s="1193" t="s">
        <v>1876</v>
      </c>
      <c r="C66" s="145" t="s">
        <v>1877</v>
      </c>
      <c r="D66" s="1194" t="s">
        <v>1414</v>
      </c>
      <c r="E66" s="1195">
        <v>300000</v>
      </c>
      <c r="F66" s="1194" t="s">
        <v>1878</v>
      </c>
      <c r="G66" s="1196">
        <v>44682</v>
      </c>
    </row>
    <row r="67" spans="1:7" ht="15.75">
      <c r="A67" s="107"/>
      <c r="B67" s="1193" t="s">
        <v>1879</v>
      </c>
      <c r="C67" s="145" t="s">
        <v>1877</v>
      </c>
      <c r="D67" s="1194" t="s">
        <v>1414</v>
      </c>
      <c r="E67" s="1195">
        <v>1100000</v>
      </c>
      <c r="F67" s="1194" t="s">
        <v>1878</v>
      </c>
      <c r="G67" s="1196">
        <v>44774</v>
      </c>
    </row>
    <row r="68" spans="1:7" ht="15.75">
      <c r="A68" s="107"/>
      <c r="B68" s="1193" t="s">
        <v>1880</v>
      </c>
      <c r="C68" s="145" t="s">
        <v>1877</v>
      </c>
      <c r="D68" s="1194" t="s">
        <v>1414</v>
      </c>
      <c r="E68" s="1195">
        <v>900000</v>
      </c>
      <c r="F68" s="1194" t="s">
        <v>1878</v>
      </c>
      <c r="G68" s="1196">
        <v>44866</v>
      </c>
    </row>
    <row r="69" spans="1:7" ht="15.75">
      <c r="A69" s="107"/>
      <c r="B69" s="1193" t="s">
        <v>1881</v>
      </c>
      <c r="C69" s="145" t="s">
        <v>1877</v>
      </c>
      <c r="D69" s="1194" t="s">
        <v>1414</v>
      </c>
      <c r="E69" s="1195">
        <v>1250000</v>
      </c>
      <c r="F69" s="1194" t="s">
        <v>1878</v>
      </c>
      <c r="G69" s="1196">
        <v>44927</v>
      </c>
    </row>
    <row r="70" spans="1:7" ht="15.75">
      <c r="A70" s="107"/>
      <c r="B70" s="1193" t="s">
        <v>1876</v>
      </c>
      <c r="C70" s="145" t="s">
        <v>1877</v>
      </c>
      <c r="D70" s="1194" t="s">
        <v>1414</v>
      </c>
      <c r="E70" s="1195">
        <v>250000</v>
      </c>
      <c r="F70" s="1194" t="s">
        <v>1882</v>
      </c>
      <c r="G70" s="1197">
        <v>44682</v>
      </c>
    </row>
    <row r="71" spans="1:7" ht="15.75">
      <c r="A71" s="107"/>
      <c r="B71" s="1193" t="s">
        <v>1883</v>
      </c>
      <c r="C71" s="145" t="s">
        <v>1877</v>
      </c>
      <c r="D71" s="1194" t="s">
        <v>1414</v>
      </c>
      <c r="E71" s="1195">
        <v>500000</v>
      </c>
      <c r="F71" s="1194" t="s">
        <v>1882</v>
      </c>
      <c r="G71" s="1197">
        <v>44774</v>
      </c>
    </row>
    <row r="72" spans="1:7" ht="15.75">
      <c r="A72" s="107"/>
      <c r="B72" s="1193" t="s">
        <v>1884</v>
      </c>
      <c r="C72" s="145" t="s">
        <v>1877</v>
      </c>
      <c r="D72" s="1194" t="s">
        <v>1414</v>
      </c>
      <c r="E72" s="1195">
        <v>400000</v>
      </c>
      <c r="F72" s="1194" t="s">
        <v>1882</v>
      </c>
      <c r="G72" s="1197">
        <v>44927</v>
      </c>
    </row>
    <row r="73" spans="1:7" ht="15.75">
      <c r="A73" s="107"/>
      <c r="B73" s="1193" t="s">
        <v>1880</v>
      </c>
      <c r="C73" s="145" t="s">
        <v>1877</v>
      </c>
      <c r="D73" s="1194" t="s">
        <v>1414</v>
      </c>
      <c r="E73" s="1195">
        <v>450000</v>
      </c>
      <c r="F73" s="1194" t="s">
        <v>1882</v>
      </c>
      <c r="G73" s="1198">
        <v>44866</v>
      </c>
    </row>
    <row r="74" spans="1:7" ht="15.75">
      <c r="A74" s="107"/>
      <c r="B74" s="1199" t="s">
        <v>1885</v>
      </c>
      <c r="C74" s="145" t="s">
        <v>1886</v>
      </c>
      <c r="D74" s="1194" t="s">
        <v>1414</v>
      </c>
      <c r="E74" s="1200">
        <v>5560884</v>
      </c>
      <c r="F74" s="1194" t="s">
        <v>746</v>
      </c>
      <c r="G74" s="1201">
        <v>44866</v>
      </c>
    </row>
    <row r="75" spans="1:7" ht="15.75">
      <c r="A75" s="107"/>
      <c r="B75" s="1199" t="s">
        <v>1887</v>
      </c>
      <c r="C75" s="145" t="s">
        <v>1886</v>
      </c>
      <c r="D75" s="1194" t="s">
        <v>1414</v>
      </c>
      <c r="E75" s="1202">
        <v>2942716</v>
      </c>
      <c r="F75" s="1194" t="s">
        <v>746</v>
      </c>
      <c r="G75" s="1201">
        <v>44986</v>
      </c>
    </row>
    <row r="76" spans="1:7" ht="15.75">
      <c r="A76" s="107"/>
      <c r="B76" s="1199" t="s">
        <v>1888</v>
      </c>
      <c r="C76" s="145" t="s">
        <v>1889</v>
      </c>
      <c r="D76" s="1194" t="s">
        <v>1414</v>
      </c>
      <c r="E76" s="1195">
        <v>896184</v>
      </c>
      <c r="F76" s="1203" t="s">
        <v>1890</v>
      </c>
      <c r="G76" s="1201" t="s">
        <v>1891</v>
      </c>
    </row>
    <row r="77" spans="1:7" ht="15.75">
      <c r="A77" s="107"/>
      <c r="B77" s="1193" t="s">
        <v>1892</v>
      </c>
      <c r="C77" s="145" t="s">
        <v>1889</v>
      </c>
      <c r="D77" s="1194" t="s">
        <v>1414</v>
      </c>
      <c r="E77" s="1195">
        <v>1644750</v>
      </c>
      <c r="F77" s="1194" t="s">
        <v>1893</v>
      </c>
      <c r="G77" s="1201">
        <v>44805</v>
      </c>
    </row>
    <row r="78" spans="1:7" ht="15.75">
      <c r="A78" s="107"/>
      <c r="B78" s="1193" t="s">
        <v>1894</v>
      </c>
      <c r="C78" s="145" t="s">
        <v>1889</v>
      </c>
      <c r="D78" s="1194" t="s">
        <v>1414</v>
      </c>
      <c r="E78" s="1195">
        <v>1254750</v>
      </c>
      <c r="F78" s="1194" t="s">
        <v>1893</v>
      </c>
      <c r="G78" s="1201">
        <v>44927</v>
      </c>
    </row>
    <row r="79" spans="1:7" ht="15.75">
      <c r="A79" s="107"/>
      <c r="B79" s="1199" t="s">
        <v>1895</v>
      </c>
      <c r="C79" s="145" t="s">
        <v>1896</v>
      </c>
      <c r="D79" s="1194" t="s">
        <v>1414</v>
      </c>
      <c r="E79" s="1195">
        <v>160100</v>
      </c>
      <c r="F79" s="1194" t="s">
        <v>1897</v>
      </c>
      <c r="G79" s="1201">
        <v>44927</v>
      </c>
    </row>
    <row r="80" spans="1:7" ht="15.75">
      <c r="A80" s="107"/>
      <c r="B80" s="1199" t="s">
        <v>1898</v>
      </c>
      <c r="C80" s="145" t="s">
        <v>1896</v>
      </c>
      <c r="D80" s="1194" t="s">
        <v>1414</v>
      </c>
      <c r="E80" s="1195">
        <v>109000</v>
      </c>
      <c r="F80" s="1194" t="s">
        <v>1897</v>
      </c>
      <c r="G80" s="1201">
        <v>44958</v>
      </c>
    </row>
    <row r="81" spans="1:7" ht="15.75">
      <c r="A81" s="107"/>
      <c r="B81" s="1193" t="s">
        <v>1899</v>
      </c>
      <c r="C81" s="145" t="s">
        <v>1889</v>
      </c>
      <c r="D81" s="1194" t="s">
        <v>1414</v>
      </c>
      <c r="E81" s="1195">
        <v>2000000</v>
      </c>
      <c r="F81" s="1194" t="s">
        <v>1900</v>
      </c>
      <c r="G81" s="1201">
        <v>44743</v>
      </c>
    </row>
    <row r="82" spans="1:7" ht="15.75">
      <c r="A82" s="107" t="s">
        <v>1426</v>
      </c>
      <c r="B82" s="1193" t="s">
        <v>1899</v>
      </c>
      <c r="C82" s="145" t="s">
        <v>1889</v>
      </c>
      <c r="D82" s="1194" t="s">
        <v>1414</v>
      </c>
      <c r="E82" s="1195">
        <v>2000000</v>
      </c>
      <c r="F82" s="1194" t="s">
        <v>1900</v>
      </c>
      <c r="G82" s="1201">
        <v>44927</v>
      </c>
    </row>
    <row r="83" spans="1:7" ht="15.75">
      <c r="A83" s="107"/>
      <c r="B83" s="1193" t="s">
        <v>1901</v>
      </c>
      <c r="C83" s="145" t="s">
        <v>1889</v>
      </c>
      <c r="D83" s="1194" t="s">
        <v>1414</v>
      </c>
      <c r="E83" s="1195">
        <v>250000</v>
      </c>
      <c r="F83" s="1194" t="s">
        <v>1902</v>
      </c>
      <c r="G83" s="1201">
        <v>44986</v>
      </c>
    </row>
    <row r="84" spans="1:7" ht="15.75">
      <c r="A84" s="107"/>
      <c r="B84" s="1204" t="s">
        <v>1903</v>
      </c>
      <c r="C84" s="145" t="s">
        <v>1904</v>
      </c>
      <c r="D84" s="1194" t="s">
        <v>1414</v>
      </c>
      <c r="E84" s="1195">
        <v>325000</v>
      </c>
      <c r="F84" s="1194" t="s">
        <v>1905</v>
      </c>
      <c r="G84" s="1201">
        <v>44682</v>
      </c>
    </row>
    <row r="85" spans="1:7" ht="15.75">
      <c r="A85" s="107"/>
      <c r="B85" s="1204" t="s">
        <v>1906</v>
      </c>
      <c r="C85" s="145" t="s">
        <v>1904</v>
      </c>
      <c r="D85" s="1194" t="s">
        <v>1414</v>
      </c>
      <c r="E85" s="1195">
        <v>400000</v>
      </c>
      <c r="F85" s="1194" t="s">
        <v>1905</v>
      </c>
      <c r="G85" s="1201">
        <v>44774</v>
      </c>
    </row>
    <row r="86" spans="1:7" ht="15.75">
      <c r="A86" s="107"/>
      <c r="B86" s="1204" t="s">
        <v>1907</v>
      </c>
      <c r="C86" s="145" t="s">
        <v>1904</v>
      </c>
      <c r="D86" s="1194" t="s">
        <v>1414</v>
      </c>
      <c r="E86" s="1195">
        <v>400000</v>
      </c>
      <c r="F86" s="1194" t="s">
        <v>1905</v>
      </c>
      <c r="G86" s="1201">
        <v>44896</v>
      </c>
    </row>
    <row r="87" spans="1:7" ht="15.75">
      <c r="A87" s="107"/>
      <c r="B87" s="1204" t="s">
        <v>1908</v>
      </c>
      <c r="C87" s="145" t="s">
        <v>1904</v>
      </c>
      <c r="D87" s="1194" t="s">
        <v>1414</v>
      </c>
      <c r="E87" s="1195">
        <v>300000</v>
      </c>
      <c r="F87" s="1194" t="s">
        <v>1905</v>
      </c>
      <c r="G87" s="1201" t="s">
        <v>1891</v>
      </c>
    </row>
    <row r="88" spans="1:7" ht="15.75">
      <c r="A88" s="107"/>
      <c r="B88" s="110"/>
      <c r="C88" s="107"/>
      <c r="D88" s="119" t="s">
        <v>12</v>
      </c>
      <c r="E88" s="130">
        <f>SUM(E66:E87)</f>
        <v>23393384</v>
      </c>
      <c r="F88" s="110"/>
      <c r="G88" s="110"/>
    </row>
    <row r="89" spans="1:7" ht="15.75">
      <c r="A89" s="111"/>
      <c r="B89" s="119" t="s">
        <v>1909</v>
      </c>
      <c r="C89" s="128"/>
      <c r="D89" s="128"/>
      <c r="E89" s="112">
        <f>E88+E63</f>
        <v>553666384</v>
      </c>
      <c r="F89" s="128"/>
      <c r="G89" s="128"/>
    </row>
    <row r="90" spans="1:7">
      <c r="A90" s="150"/>
      <c r="B90" s="150"/>
      <c r="C90" s="151"/>
      <c r="D90" s="151"/>
      <c r="E90" s="152"/>
      <c r="F90" s="151"/>
      <c r="G90" s="151"/>
    </row>
    <row r="91" spans="1:7">
      <c r="A91" s="1642"/>
      <c r="B91" s="1642"/>
      <c r="C91" s="1642"/>
      <c r="D91" s="1642"/>
      <c r="E91" s="1642"/>
      <c r="F91" s="1642"/>
      <c r="G91" s="1642"/>
    </row>
    <row r="92" spans="1:7" ht="15.75">
      <c r="A92" s="1643" t="s">
        <v>20</v>
      </c>
      <c r="B92" s="1643"/>
      <c r="C92" s="1643"/>
      <c r="D92" s="1643"/>
      <c r="E92" s="1643"/>
      <c r="F92" s="1643"/>
      <c r="G92" s="1643"/>
    </row>
    <row r="93" spans="1:7">
      <c r="A93" s="150"/>
      <c r="B93" s="150"/>
      <c r="C93" s="151"/>
      <c r="D93" s="151"/>
      <c r="E93" s="152"/>
      <c r="F93" s="151"/>
      <c r="G93" s="151"/>
    </row>
    <row r="94" spans="1:7">
      <c r="B94" s="150"/>
      <c r="D94" s="153"/>
      <c r="E94" s="154"/>
    </row>
    <row r="95" spans="1:7">
      <c r="E95" s="154"/>
    </row>
  </sheetData>
  <mergeCells count="5">
    <mergeCell ref="A2:G2"/>
    <mergeCell ref="A3:G3"/>
    <mergeCell ref="A4:G4"/>
    <mergeCell ref="A91:G91"/>
    <mergeCell ref="A92:G92"/>
  </mergeCells>
  <hyperlinks>
    <hyperlink ref="B15" r:id="rId1" display="https://pfms.nic.in/ImplementingAgency/FundsIncome/FundsFromOtherAgency.aspx?id=7IZJv2Yk2d0rns2SWW5fYQ==&amp;PName=XRxMAKIUHS4=&amp;RID=zU9zD9Fh5Z4=" xr:uid="{00000000-0004-0000-3400-000000000000}"/>
    <hyperlink ref="B13" r:id="rId2" display="https://pfms.nic.in/ImplementingAgency/FundsIncome/FundsFromOtherAgency.aspx?id=BZlyWTbYhC3nUZZvSPHsEA==&amp;PName=XRxMAKIUHS4=&amp;RID=zU9zD9Fh5Z4=" xr:uid="{00000000-0004-0000-3400-000001000000}"/>
    <hyperlink ref="B17" r:id="rId3" display="https://pfms.nic.in/ImplementingAgency/FundsIncome/FundsFromOtherAgency.aspx?id=ECXlHwqCSKo6MnHBuIQOjQ==&amp;PName=XRxMAKIUHS4=&amp;RID=zU9zD9Fh5Z4=" xr:uid="{00000000-0004-0000-3400-000002000000}"/>
    <hyperlink ref="B18" r:id="rId4" display="https://pfms.nic.in/ImplementingAgency/FundsIncome/FundsFromOtherAgency.aspx?id=nWyakwPvrjabO90y2O/4dQ==&amp;PName=XRxMAKIUHS4=&amp;RID=zU9zD9Fh5Z4=" xr:uid="{00000000-0004-0000-3400-000003000000}"/>
    <hyperlink ref="B49" r:id="rId5" display="https://pfms.nic.in/ImplementingAgency/FundsIncome/FundsFromOtherAgency.aspx?id=b9kZiiLZcJExSH8/kL9woA==&amp;PName=XRxMAKIUHS4=&amp;RID=zU9zD9Fh5Z4=" xr:uid="{00000000-0004-0000-3400-000004000000}"/>
    <hyperlink ref="B50" r:id="rId6" display="https://pfms.nic.in/ImplementingAgency/FundsIncome/FundsFromOtherAgency.aspx?id=LXRfXIyK2aZkZgB5WPKh6g==&amp;PName=XRxMAKIUHS4=&amp;RID=zU9zD9Fh5Z4=" xr:uid="{00000000-0004-0000-3400-000005000000}"/>
    <hyperlink ref="B51" r:id="rId7" display="https://pfms.nic.in/ImplementingAgency/FundsIncome/FundsFromOtherAgency.aspx?id=FNJemQNOVp8lr5SJEVx4lw==&amp;PName=XRxMAKIUHS4=&amp;RID=zU9zD9Fh5Z4=" xr:uid="{00000000-0004-0000-3400-000006000000}"/>
    <hyperlink ref="B57" r:id="rId8" display="https://pfms.nic.in/ImplementingAgency/FundsIncome/FundsFromOtherAgency.aspx?id=fbkyZCytSZ3/WU6FRQUEmQ==&amp;PName=XRxMAKIUHS4=&amp;RID=zU9zD9Fh5Z4=" xr:uid="{00000000-0004-0000-3400-000007000000}"/>
    <hyperlink ref="B36" r:id="rId9" display="https://pfms.nic.in/ImplementingAgency/FundsIncome/FundsFromOtherAgency.aspx?id=EnDiKAmP4G5d3LEAs6G/Sg==&amp;PName=XRxMAKIUHS4=&amp;RID=zU9zD9Fh5Z4=" xr:uid="{00000000-0004-0000-3400-000008000000}"/>
    <hyperlink ref="B41" r:id="rId10" display="https://pfms.nic.in/ImplementingAgency/FundsIncome/FundsFromOtherAgency.aspx?id=1nNhYw3JhA9wp5Ly9v4NnA==&amp;PName=XRxMAKIUHS4=&amp;RID=zU9zD9Fh5Z4=" xr:uid="{00000000-0004-0000-3400-000009000000}"/>
    <hyperlink ref="B40" r:id="rId11" display="https://pfms.nic.in/ImplementingAgency/FundsIncome/FundsFromOtherAgency.aspx?id=Vzf9GLlfRLhYPmVbS6H8tQ==&amp;PName=XRxMAKIUHS4=&amp;RID=zU9zD9Fh5Z4=" xr:uid="{00000000-0004-0000-3400-00000A000000}"/>
    <hyperlink ref="B54" r:id="rId12" display="https://pfms.nic.in/ImplementingAgency/FundsIncome/FundsFromOtherAgency.aspx?id=uQyJ5jP1L42T/frvIPGpjA==&amp;PName=XRxMAKIUHS4=&amp;RID=zU9zD9Fh5Z4=" xr:uid="{00000000-0004-0000-3400-00000B000000}"/>
    <hyperlink ref="B31" r:id="rId13" display="https://pfms.nic.in/ImplementingAgency/FundsIncome/FundsFromOtherAgency.aspx?id=4pk6HkJuffSTZZtXNECgfQ==&amp;PName=XRxMAKIUHS4=&amp;RID=zU9zD9Fh5Z4=" xr:uid="{00000000-0004-0000-3400-00000C000000}"/>
    <hyperlink ref="B39" r:id="rId14" display="https://pfms.nic.in/ImplementingAgency/FundsIncome/FundsFromOtherAgency.aspx?id=QXoEigzNj27ZBqmKZMwhRg==&amp;PName=XRxMAKIUHS4=&amp;RID=zU9zD9Fh5Z4=" xr:uid="{00000000-0004-0000-3400-00000D000000}"/>
    <hyperlink ref="B38" r:id="rId15" display="https://pfms.nic.in/ImplementingAgency/FundsIncome/FundsFromOtherAgency.aspx?id=+j+7/d1TxoLda9uvc/d5Gw==&amp;PName=XRxMAKIUHS4=&amp;RID=zU9zD9Fh5Z4=" xr:uid="{00000000-0004-0000-3400-00000E000000}"/>
    <hyperlink ref="B37" r:id="rId16" display="https://pfms.nic.in/ImplementingAgency/FundsIncome/FundsFromOtherAgency.aspx?id=pvgHCN/sE6F93zuaqdAM2Q==&amp;PName=XRxMAKIUHS4=&amp;RID=zU9zD9Fh5Z4=" xr:uid="{00000000-0004-0000-3400-00000F000000}"/>
    <hyperlink ref="B35" r:id="rId17" display="https://pfms.nic.in/ImplementingAgency/FundsIncome/FundsFromOtherAgency.aspx?id=Q2AAlZiqy4mabtvQ0qVwMw==&amp;PName=XRxMAKIUHS4=&amp;RID=zU9zD9Fh5Z4=" xr:uid="{00000000-0004-0000-3400-000010000000}"/>
    <hyperlink ref="B28" r:id="rId18" display="https://pfms.nic.in/ImplementingAgency/FundsIncome/FundsFromOtherAgency.aspx?id=xbnbA7elGj2Sav8Eggaa1Q==&amp;PName=XRxMAKIUHS4=&amp;RID=zU9zD9Fh5Z4=" xr:uid="{00000000-0004-0000-3400-000011000000}"/>
    <hyperlink ref="B27" r:id="rId19" display="https://pfms.nic.in/ImplementingAgency/FundsIncome/FundsFromOtherAgency.aspx?id=kDQ18IUbeAEEOKH+g9q/Vw==&amp;PName=XRxMAKIUHS4=&amp;RID=zU9zD9Fh5Z4=" xr:uid="{00000000-0004-0000-3400-000012000000}"/>
    <hyperlink ref="B26" r:id="rId20" display="https://pfms.nic.in/ImplementingAgency/FundsIncome/FundsFromOtherAgency.aspx?id=7nDrfRrvghKhQ8QWtHNheA==&amp;PName=XRxMAKIUHS4=&amp;RID=zU9zD9Fh5Z4=" xr:uid="{00000000-0004-0000-3400-000013000000}"/>
    <hyperlink ref="B42" r:id="rId21" display="https://pfms.nic.in/ImplementingAgency/FundsIncome/FundsFromOtherAgency.aspx?id=lREGumkItNDRXMtMj0IRBQ==&amp;PName=XRxMAKIUHS4=&amp;RID=zU9zD9Fh5Z4=" xr:uid="{00000000-0004-0000-3400-000014000000}"/>
    <hyperlink ref="B44" r:id="rId22" display="https://pfms.nic.in/ImplementingAgency/FundsIncome/FundsFromOtherAgency.aspx?id=creGFb+b5D6jILCEBpxRqg==&amp;PName=XRxMAKIUHS4=&amp;RID=zU9zD9Fh5Z4=" xr:uid="{00000000-0004-0000-3400-000015000000}"/>
    <hyperlink ref="B60" r:id="rId23" display="https://pfms.nic.in/ImplementingAgency/FundsIncome/FundsFromOtherAgency.aspx?id=WzCPex426dy4f0nKQcyeNA==&amp;PName=XRxMAKIUHS4=&amp;RID=zU9zD9Fh5Z4=" xr:uid="{00000000-0004-0000-3400-000016000000}"/>
    <hyperlink ref="B12" r:id="rId24" display="https://pfms.nic.in/ImplementingAgency/FundsIncome/FundsFromOtherAgency.aspx?id=Yt/Li+2y44QXj2NiJBYuPw==&amp;PName=XRxMAKIUHS4=&amp;RID=zU9zD9Fh5Z4=" xr:uid="{00000000-0004-0000-3400-000017000000}"/>
    <hyperlink ref="B14" r:id="rId25" display="https://pfms.nic.in/ImplementingAgency/FundsIncome/FundsFromOtherAgency.aspx?id=Z1rFN4no+d4HbwQiZT4LQA==&amp;PName=XRxMAKIUHS4=&amp;RID=zU9zD9Fh5Z4=" xr:uid="{00000000-0004-0000-3400-000018000000}"/>
    <hyperlink ref="B59" r:id="rId26" display="https://pfms.nic.in/ImplementingAgency/FundsIncome/FundsFromOtherAgency.aspx?id=IPI50imSKVTCATLRsPEmDw==&amp;PName=XRxMAKIUHS4=&amp;RID=zU9zD9Fh5Z4=" xr:uid="{00000000-0004-0000-3400-000019000000}"/>
    <hyperlink ref="B58" r:id="rId27" display="https://pfms.nic.in/ImplementingAgency/FundsIncome/FundsFromOtherAgency.aspx?id=uE9DF1yGRB1ehaooMMVlvA==&amp;PName=XRxMAKIUHS4=&amp;RID=zU9zD9Fh5Z4=" xr:uid="{00000000-0004-0000-3400-00001A000000}"/>
    <hyperlink ref="B53" r:id="rId28" display="https://pfms.nic.in/ImplementingAgency/FundsIncome/FundsFromOtherAgency.aspx?id=x/cwTTYt6fqM55SJtgkWBQ==&amp;PName=XRxMAKIUHS4=&amp;RID=zU9zD9Fh5Z4=" xr:uid="{00000000-0004-0000-3400-00001B000000}"/>
    <hyperlink ref="B55" r:id="rId29" display="https://pfms.nic.in/ImplementingAgency/FundsIncome/FundsFromOtherAgency.aspx?id=CffE7Z4oOIlJudVQ+ZjgIQ==&amp;PName=XRxMAKIUHS4=&amp;RID=zU9zD9Fh5Z4=" xr:uid="{00000000-0004-0000-3400-00001C000000}"/>
    <hyperlink ref="B22" r:id="rId30" display="https://pfms.nic.in/ImplementingAgency/FundsIncome/FundsFromOtherAgency.aspx?id=LgKzB9r9K25Bogvil877Iw==&amp;PName=XRxMAKIUHS4=&amp;RID=zU9zD9Fh5Z4=" xr:uid="{00000000-0004-0000-3400-00001D000000}"/>
    <hyperlink ref="B61" r:id="rId31" display="https://pfms.nic.in/ImplementingAgency/FundsIncome/FundsFromOtherAgency.aspx?id=Cj+Ed5ihxXqdrfjvfGM4yA==&amp;PName=XRxMAKIUHS4=&amp;RID=zU9zD9Fh5Z4=" xr:uid="{00000000-0004-0000-3400-00001E000000}"/>
    <hyperlink ref="B32" r:id="rId32" display="https://pfms.nic.in/ImplementingAgency/FundsIncome/FundsFromOtherAgency.aspx?id=XYQig12M3p9HW4BnQZXQaw==&amp;PName=XRxMAKIUHS4=&amp;RID=zU9zD9Fh5Z4=" xr:uid="{00000000-0004-0000-3400-00001F000000}"/>
    <hyperlink ref="B56" r:id="rId33" display="https://pfms.nic.in/ImplementingAgency/FundsIncome/FundsFromOtherAgency.aspx?id=UXi4kAYTLWaEy9Hiczgfsw==&amp;PName=XRxMAKIUHS4=&amp;RID=zU9zD9Fh5Z4=" xr:uid="{00000000-0004-0000-3400-000020000000}"/>
    <hyperlink ref="B43" r:id="rId34" display="https://pfms.nic.in/ImplementingAgency/FundsIncome/FundsFromOtherAgency.aspx?id=Slxv3KMLfidmnS+UYoLFiA==&amp;PName=XRxMAKIUHS4=&amp;RID=zU9zD9Fh5Z4=" xr:uid="{00000000-0004-0000-3400-000021000000}"/>
    <hyperlink ref="B23" r:id="rId35" display="https://pfms.nic.in/ImplementingAgency/FundsIncome/FundsFromOtherAgency.aspx?id=/N+/PYn5zjtguVGHQuevvQ==&amp;PName=XRxMAKIUHS4=&amp;RID=zU9zD9Fh5Z4=" xr:uid="{00000000-0004-0000-3400-000022000000}"/>
    <hyperlink ref="B33" r:id="rId36" display="https://pfms.nic.in/ImplementingAgency/FundsIncome/FundsFromOtherAgency.aspx?id=r9BwL7PP0CLFj+Lb9Am8/Q==&amp;PName=XRxMAKIUHS4=&amp;RID=zU9zD9Fh5Z4=" xr:uid="{00000000-0004-0000-3400-000023000000}"/>
    <hyperlink ref="B24" r:id="rId37" display="https://pfms.nic.in/ImplementingAgency/FundsIncome/FundsFromOtherAgency.aspx?id=chRohNNSB7eBMYCtfDuUNQ==&amp;PName=XRxMAKIUHS4=&amp;RID=zU9zD9Fh5Z4=" xr:uid="{00000000-0004-0000-3400-000024000000}"/>
    <hyperlink ref="B25" r:id="rId38" display="https://pfms.nic.in/ImplementingAgency/FundsIncome/FundsFromOtherAgency.aspx?id=pvgHCN/sE6F93zuaqdAM2Q==&amp;PName=XRxMAKIUHS4=&amp;RID=zU9zD9Fh5Z4=" xr:uid="{00000000-0004-0000-3400-000025000000}"/>
    <hyperlink ref="B19" r:id="rId39" display="https://pfms.nic.in/ImplementingAgency/FundsIncome/FundsFromOtherAgency.aspx?id=bxmGNuizBPoLloH+c68BSQ==&amp;PName=XRxMAKIUHS4=&amp;RID=zU9zD9Fh5Z4=" xr:uid="{00000000-0004-0000-3400-000026000000}"/>
    <hyperlink ref="B29" r:id="rId40" display="https://pfms.nic.in/ImplementingAgency/FundsIncome/FundsFromOtherAgency.aspx?id=OhtSOSp5LxH0dzMNs1s50g==&amp;PName=XRxMAKIUHS4=&amp;RID=zU9zD9Fh5Z4=" xr:uid="{00000000-0004-0000-3400-000027000000}"/>
  </hyperlinks>
  <printOptions horizontalCentered="1" verticalCentered="1"/>
  <pageMargins left="0" right="0" top="0" bottom="0" header="0.35433070866141703" footer="0.31496062992126"/>
  <pageSetup paperSize="9" scale="72" orientation="landscape" r:id="rId41"/>
  <headerFooter alignWithMargins="0"/>
  <rowBreaks count="1" manualBreakCount="1">
    <brk id="41" max="6"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K53"/>
  <sheetViews>
    <sheetView view="pageBreakPreview" topLeftCell="A22" zoomScale="85" zoomScaleNormal="85" workbookViewId="0">
      <selection activeCell="G44" sqref="G44"/>
    </sheetView>
  </sheetViews>
  <sheetFormatPr defaultColWidth="11" defaultRowHeight="15.75"/>
  <cols>
    <col min="1" max="1" width="5.28515625" style="102" customWidth="1"/>
    <col min="2" max="2" width="59.140625" style="102" customWidth="1"/>
    <col min="3" max="3" width="24.7109375" style="102" customWidth="1"/>
    <col min="4" max="4" width="19.140625" style="102" customWidth="1"/>
    <col min="5" max="5" width="20.140625" style="102" customWidth="1"/>
    <col min="6" max="6" width="21" style="102" customWidth="1"/>
    <col min="7" max="7" width="21.140625" style="102" customWidth="1"/>
    <col min="8" max="8" width="14.42578125" style="102" customWidth="1"/>
    <col min="9" max="9" width="20.7109375" style="102" customWidth="1"/>
    <col min="10" max="10" width="17.85546875" style="102" customWidth="1"/>
    <col min="11" max="11" width="28.140625" style="102" customWidth="1"/>
    <col min="12" max="12" width="1.85546875" style="102" customWidth="1"/>
    <col min="13" max="13" width="16.7109375" style="102" customWidth="1"/>
    <col min="14" max="14" width="1.85546875" style="102" customWidth="1"/>
    <col min="15" max="15" width="5.28515625" style="102" customWidth="1"/>
    <col min="16" max="16" width="25.85546875" style="102" customWidth="1"/>
    <col min="17" max="17" width="1.85546875" style="102" customWidth="1"/>
    <col min="18" max="18" width="16.7109375" style="102" customWidth="1"/>
    <col min="19" max="19" width="1.85546875" style="102" customWidth="1"/>
    <col min="20" max="16384" width="11" style="102"/>
  </cols>
  <sheetData>
    <row r="1" spans="1:9">
      <c r="I1" s="132" t="s">
        <v>1428</v>
      </c>
    </row>
    <row r="2" spans="1:9" ht="40.5" customHeight="1">
      <c r="A2" s="1644" t="s">
        <v>1910</v>
      </c>
      <c r="B2" s="1644"/>
      <c r="C2" s="1644"/>
      <c r="D2" s="1644"/>
      <c r="E2" s="1644"/>
      <c r="F2" s="1644"/>
      <c r="G2" s="1644"/>
      <c r="H2" s="1644"/>
      <c r="I2" s="1644"/>
    </row>
    <row r="3" spans="1:9" ht="18.75">
      <c r="A3" s="1641" t="s">
        <v>1429</v>
      </c>
      <c r="B3" s="1641"/>
      <c r="C3" s="1641"/>
      <c r="D3" s="1641"/>
      <c r="E3" s="1641"/>
      <c r="F3" s="1641"/>
      <c r="G3" s="1641"/>
      <c r="H3" s="1641"/>
      <c r="I3" s="1641"/>
    </row>
    <row r="4" spans="1:9">
      <c r="A4" s="103"/>
      <c r="B4" s="103"/>
      <c r="C4" s="103"/>
      <c r="D4" s="103"/>
      <c r="E4" s="103"/>
      <c r="F4" s="103"/>
      <c r="G4" s="103"/>
      <c r="H4" s="103"/>
      <c r="I4" s="103"/>
    </row>
    <row r="5" spans="1:9" ht="31.5" customHeight="1">
      <c r="A5" s="1646" t="s">
        <v>1430</v>
      </c>
      <c r="B5" s="1646" t="s">
        <v>1431</v>
      </c>
      <c r="C5" s="1649" t="s">
        <v>1432</v>
      </c>
      <c r="D5" s="1649" t="s">
        <v>1433</v>
      </c>
      <c r="E5" s="1649" t="s">
        <v>12</v>
      </c>
      <c r="F5" s="1649" t="s">
        <v>1434</v>
      </c>
      <c r="G5" s="1649" t="s">
        <v>1435</v>
      </c>
      <c r="H5" s="1649" t="s">
        <v>1436</v>
      </c>
      <c r="I5" s="1654" t="s">
        <v>1437</v>
      </c>
    </row>
    <row r="6" spans="1:9">
      <c r="A6" s="1647"/>
      <c r="B6" s="1647"/>
      <c r="C6" s="1650"/>
      <c r="D6" s="1650"/>
      <c r="E6" s="1650"/>
      <c r="F6" s="1650"/>
      <c r="G6" s="1650"/>
      <c r="H6" s="1652"/>
      <c r="I6" s="1655"/>
    </row>
    <row r="7" spans="1:9" ht="22.5" customHeight="1">
      <c r="A7" s="1648"/>
      <c r="B7" s="1648"/>
      <c r="C7" s="1651"/>
      <c r="D7" s="1651"/>
      <c r="E7" s="1651"/>
      <c r="F7" s="1651"/>
      <c r="G7" s="1651"/>
      <c r="H7" s="1653"/>
      <c r="I7" s="1651"/>
    </row>
    <row r="8" spans="1:9">
      <c r="A8" s="104"/>
      <c r="B8" s="105"/>
      <c r="C8" s="106">
        <v>1</v>
      </c>
      <c r="D8" s="106">
        <v>2</v>
      </c>
      <c r="E8" s="106" t="s">
        <v>1438</v>
      </c>
      <c r="F8" s="106">
        <v>4</v>
      </c>
      <c r="G8" s="106">
        <v>5</v>
      </c>
      <c r="H8" s="106">
        <v>6</v>
      </c>
      <c r="I8" s="106" t="s">
        <v>1439</v>
      </c>
    </row>
    <row r="9" spans="1:9">
      <c r="A9" s="1106" t="s">
        <v>1072</v>
      </c>
      <c r="B9" s="108" t="s">
        <v>586</v>
      </c>
      <c r="C9" s="109"/>
      <c r="D9" s="109"/>
      <c r="E9" s="109"/>
      <c r="F9" s="109"/>
      <c r="G9" s="109"/>
      <c r="H9" s="109"/>
      <c r="I9" s="109"/>
    </row>
    <row r="10" spans="1:9">
      <c r="A10" s="110"/>
      <c r="B10" s="111" t="s">
        <v>1440</v>
      </c>
      <c r="C10" s="112"/>
      <c r="D10" s="109"/>
      <c r="E10" s="109">
        <f>+C10+D10</f>
        <v>0</v>
      </c>
      <c r="F10" s="113"/>
      <c r="G10" s="109"/>
      <c r="H10" s="109"/>
      <c r="I10" s="109"/>
    </row>
    <row r="11" spans="1:9">
      <c r="A11" s="110"/>
      <c r="B11" s="114" t="s">
        <v>1441</v>
      </c>
      <c r="C11" s="109">
        <v>0</v>
      </c>
      <c r="D11" s="109">
        <v>506174770</v>
      </c>
      <c r="E11" s="109">
        <f t="shared" ref="E11:E12" si="0">+C11+D11</f>
        <v>506174770</v>
      </c>
      <c r="F11" s="115">
        <v>506174770</v>
      </c>
      <c r="G11" s="109"/>
      <c r="H11" s="109"/>
      <c r="I11" s="109">
        <f t="shared" ref="I11:I14" si="1">+E11-G11-F11</f>
        <v>0</v>
      </c>
    </row>
    <row r="12" spans="1:9">
      <c r="A12" s="110"/>
      <c r="B12" s="114" t="s">
        <v>1442</v>
      </c>
      <c r="C12" s="116">
        <v>0</v>
      </c>
      <c r="D12" s="109">
        <v>24098230</v>
      </c>
      <c r="E12" s="109">
        <f t="shared" si="0"/>
        <v>24098230</v>
      </c>
      <c r="F12" s="115">
        <v>24098230</v>
      </c>
      <c r="G12" s="109"/>
      <c r="H12" s="109"/>
      <c r="I12" s="109">
        <f t="shared" si="1"/>
        <v>0</v>
      </c>
    </row>
    <row r="13" spans="1:9">
      <c r="A13" s="110"/>
      <c r="B13" s="111"/>
      <c r="C13" s="112"/>
      <c r="D13" s="109"/>
      <c r="E13" s="109"/>
      <c r="F13" s="115"/>
      <c r="G13" s="109"/>
      <c r="H13" s="109"/>
      <c r="I13" s="109"/>
    </row>
    <row r="14" spans="1:9">
      <c r="A14" s="110"/>
      <c r="B14" s="111" t="s">
        <v>1443</v>
      </c>
      <c r="C14" s="116">
        <v>646564</v>
      </c>
      <c r="D14" s="109">
        <v>23393384</v>
      </c>
      <c r="E14" s="109">
        <f>+C14+D14</f>
        <v>24039948</v>
      </c>
      <c r="F14" s="115">
        <v>21286254</v>
      </c>
      <c r="G14" s="116">
        <v>197535</v>
      </c>
      <c r="H14" s="116"/>
      <c r="I14" s="109">
        <f t="shared" si="1"/>
        <v>2556159</v>
      </c>
    </row>
    <row r="15" spans="1:9">
      <c r="A15" s="110"/>
      <c r="C15" s="112"/>
      <c r="D15" s="109"/>
      <c r="E15" s="109"/>
      <c r="F15" s="109"/>
      <c r="G15" s="109"/>
      <c r="H15" s="109"/>
      <c r="I15" s="109"/>
    </row>
    <row r="16" spans="1:9">
      <c r="A16" s="110"/>
      <c r="B16" s="108" t="s">
        <v>1444</v>
      </c>
      <c r="C16" s="117">
        <f t="shared" ref="C16:I16" si="2">SUM(C10:C14)</f>
        <v>646564</v>
      </c>
      <c r="D16" s="118">
        <f t="shared" si="2"/>
        <v>553666384</v>
      </c>
      <c r="E16" s="118">
        <f t="shared" si="2"/>
        <v>554312948</v>
      </c>
      <c r="F16" s="118">
        <f t="shared" si="2"/>
        <v>551559254</v>
      </c>
      <c r="G16" s="118">
        <f t="shared" si="2"/>
        <v>197535</v>
      </c>
      <c r="H16" s="118"/>
      <c r="I16" s="118">
        <f t="shared" si="2"/>
        <v>2556159</v>
      </c>
    </row>
    <row r="17" spans="1:11">
      <c r="A17" s="110"/>
      <c r="B17" s="110"/>
      <c r="C17" s="112"/>
      <c r="D17" s="109"/>
      <c r="E17" s="109"/>
      <c r="F17" s="109"/>
      <c r="G17" s="109"/>
      <c r="H17" s="109"/>
      <c r="I17" s="109"/>
    </row>
    <row r="18" spans="1:11">
      <c r="A18" s="110"/>
      <c r="B18" s="110"/>
      <c r="C18" s="112"/>
      <c r="D18" s="109"/>
      <c r="E18" s="109"/>
      <c r="F18" s="109"/>
      <c r="G18" s="109"/>
      <c r="H18" s="109"/>
      <c r="I18" s="109"/>
    </row>
    <row r="19" spans="1:11" ht="19.5" customHeight="1">
      <c r="A19" s="1106" t="s">
        <v>1074</v>
      </c>
      <c r="B19" s="108" t="s">
        <v>1445</v>
      </c>
      <c r="C19" s="112"/>
      <c r="D19" s="112"/>
      <c r="F19" s="112"/>
      <c r="G19" s="112"/>
      <c r="H19" s="112"/>
      <c r="I19" s="110"/>
    </row>
    <row r="20" spans="1:11" ht="19.5" customHeight="1">
      <c r="A20" s="107"/>
      <c r="B20" s="102" t="s">
        <v>1446</v>
      </c>
      <c r="C20" s="112">
        <v>0</v>
      </c>
      <c r="D20" s="112">
        <v>5800000</v>
      </c>
      <c r="E20" s="112">
        <f>C20+D20</f>
        <v>5800000</v>
      </c>
      <c r="F20" s="112">
        <v>1785000</v>
      </c>
      <c r="G20" s="112">
        <v>4015000</v>
      </c>
      <c r="H20" s="112"/>
      <c r="I20" s="112">
        <f>+E20-F20-G20</f>
        <v>0</v>
      </c>
    </row>
    <row r="21" spans="1:11" ht="19.5" customHeight="1">
      <c r="A21" s="107"/>
      <c r="B21" s="111" t="s">
        <v>1447</v>
      </c>
      <c r="C21" s="112">
        <v>11947801</v>
      </c>
      <c r="D21" s="112">
        <f>13540824+112811-394501</f>
        <v>13259134</v>
      </c>
      <c r="E21" s="112">
        <f t="shared" ref="E21:E23" si="3">C21+D21</f>
        <v>25206935</v>
      </c>
      <c r="F21" s="112"/>
      <c r="G21" s="112">
        <v>11947801</v>
      </c>
      <c r="H21" s="112"/>
      <c r="I21" s="112">
        <f>+E21-F21-G21</f>
        <v>13259134</v>
      </c>
    </row>
    <row r="22" spans="1:11" ht="19.5" customHeight="1">
      <c r="A22" s="107"/>
      <c r="B22" s="111" t="s">
        <v>1448</v>
      </c>
      <c r="C22" s="112">
        <v>895762</v>
      </c>
      <c r="D22" s="112">
        <v>210309</v>
      </c>
      <c r="E22" s="112">
        <f t="shared" si="3"/>
        <v>1106071</v>
      </c>
      <c r="F22" s="112"/>
      <c r="G22" s="112">
        <v>895762</v>
      </c>
      <c r="H22" s="112"/>
      <c r="I22" s="112">
        <f>+E22-F22-G22</f>
        <v>210309</v>
      </c>
    </row>
    <row r="23" spans="1:11" ht="19.5" customHeight="1">
      <c r="A23" s="107"/>
      <c r="B23" s="111" t="s">
        <v>1449</v>
      </c>
      <c r="C23" s="112">
        <v>1547184</v>
      </c>
      <c r="D23" s="112">
        <v>2119986</v>
      </c>
      <c r="E23" s="112">
        <f t="shared" si="3"/>
        <v>3667170</v>
      </c>
      <c r="F23" s="112"/>
      <c r="G23" s="112">
        <v>1547184</v>
      </c>
      <c r="H23" s="112"/>
      <c r="I23" s="112">
        <f>+E23-F23-G23</f>
        <v>2119986</v>
      </c>
    </row>
    <row r="24" spans="1:11" ht="19.5" customHeight="1">
      <c r="A24" s="107"/>
      <c r="B24" s="108" t="s">
        <v>1450</v>
      </c>
      <c r="C24" s="112">
        <f>SUM(C20:C23)</f>
        <v>14390747</v>
      </c>
      <c r="D24" s="112">
        <f t="shared" ref="D24:I24" si="4">SUM(D20:D23)</f>
        <v>21389429</v>
      </c>
      <c r="E24" s="112">
        <f t="shared" si="4"/>
        <v>35780176</v>
      </c>
      <c r="F24" s="112">
        <f t="shared" si="4"/>
        <v>1785000</v>
      </c>
      <c r="G24" s="112">
        <f t="shared" si="4"/>
        <v>18405747</v>
      </c>
      <c r="H24" s="112">
        <f t="shared" si="4"/>
        <v>0</v>
      </c>
      <c r="I24" s="112">
        <f t="shared" si="4"/>
        <v>15589429</v>
      </c>
    </row>
    <row r="25" spans="1:11">
      <c r="A25" s="107"/>
      <c r="B25" s="119"/>
      <c r="C25" s="112"/>
      <c r="D25" s="112"/>
      <c r="E25" s="112"/>
      <c r="F25" s="112"/>
      <c r="G25" s="112"/>
      <c r="H25" s="112"/>
      <c r="I25" s="112"/>
      <c r="K25" s="138">
        <f>G16+G24</f>
        <v>18603282</v>
      </c>
    </row>
    <row r="26" spans="1:11">
      <c r="A26" s="1106" t="s">
        <v>1241</v>
      </c>
      <c r="B26" s="108" t="s">
        <v>587</v>
      </c>
      <c r="C26" s="112"/>
      <c r="D26" s="112"/>
      <c r="E26" s="112">
        <f>+C26+D26</f>
        <v>0</v>
      </c>
      <c r="F26" s="112"/>
      <c r="G26" s="112"/>
      <c r="H26" s="112"/>
      <c r="I26" s="112">
        <f>+E26-F26-G26</f>
        <v>0</v>
      </c>
    </row>
    <row r="27" spans="1:11">
      <c r="A27" s="107"/>
      <c r="B27" s="119"/>
      <c r="C27" s="112"/>
      <c r="D27" s="112"/>
      <c r="E27" s="112"/>
      <c r="F27" s="112"/>
      <c r="G27" s="112"/>
      <c r="H27" s="112"/>
      <c r="I27" s="112"/>
    </row>
    <row r="28" spans="1:11">
      <c r="A28" s="107">
        <v>4</v>
      </c>
      <c r="B28" s="108" t="s">
        <v>1451</v>
      </c>
      <c r="C28" s="112"/>
      <c r="D28" s="112"/>
      <c r="E28" s="112">
        <f>+C28+D28</f>
        <v>0</v>
      </c>
      <c r="F28" s="112"/>
      <c r="G28" s="112"/>
      <c r="H28" s="112"/>
      <c r="I28" s="112">
        <f>+E28-F28-G28</f>
        <v>0</v>
      </c>
    </row>
    <row r="29" spans="1:11">
      <c r="A29" s="107"/>
      <c r="B29" s="119"/>
      <c r="C29" s="112"/>
      <c r="D29" s="112"/>
      <c r="E29" s="112"/>
      <c r="F29" s="112"/>
      <c r="G29" s="112"/>
      <c r="H29" s="112"/>
      <c r="I29" s="112"/>
    </row>
    <row r="30" spans="1:11">
      <c r="A30" s="107">
        <v>5</v>
      </c>
      <c r="B30" s="108" t="s">
        <v>1218</v>
      </c>
      <c r="C30" s="112"/>
      <c r="D30" s="112"/>
      <c r="E30" s="112">
        <f>+C30+D30</f>
        <v>0</v>
      </c>
      <c r="F30" s="112"/>
      <c r="G30" s="112"/>
      <c r="H30" s="112"/>
      <c r="I30" s="112">
        <f>+E30-F30-G30</f>
        <v>0</v>
      </c>
    </row>
    <row r="31" spans="1:11">
      <c r="A31" s="107"/>
      <c r="B31" s="119"/>
      <c r="C31" s="112"/>
      <c r="D31" s="112"/>
      <c r="E31" s="112"/>
      <c r="F31" s="112"/>
      <c r="G31" s="112"/>
      <c r="H31" s="112"/>
      <c r="I31" s="112"/>
    </row>
    <row r="32" spans="1:11">
      <c r="A32" s="107">
        <v>6</v>
      </c>
      <c r="B32" s="108" t="s">
        <v>1452</v>
      </c>
      <c r="C32" s="112">
        <v>-12549240</v>
      </c>
      <c r="D32" s="112">
        <f>40597143+24315566</f>
        <v>64912709</v>
      </c>
      <c r="E32" s="112">
        <f>+C32+D32</f>
        <v>52363469</v>
      </c>
      <c r="F32" s="112">
        <f>51150506+6574693</f>
        <v>57725199</v>
      </c>
      <c r="G32" s="112"/>
      <c r="H32" s="112"/>
      <c r="I32" s="112">
        <f>+E32-F32-G32</f>
        <v>-5361730</v>
      </c>
    </row>
    <row r="33" spans="1:11">
      <c r="A33" s="110"/>
      <c r="B33" s="110"/>
      <c r="C33" s="112"/>
      <c r="D33" s="112"/>
      <c r="E33" s="112"/>
      <c r="F33" s="112"/>
      <c r="G33" s="112"/>
      <c r="H33" s="112"/>
      <c r="I33" s="112"/>
    </row>
    <row r="34" spans="1:11">
      <c r="A34" s="107">
        <v>7</v>
      </c>
      <c r="B34" s="108" t="s">
        <v>1223</v>
      </c>
      <c r="C34" s="112"/>
      <c r="D34" s="112"/>
      <c r="E34" s="112"/>
      <c r="F34" s="112"/>
      <c r="G34" s="112"/>
      <c r="H34" s="112"/>
      <c r="I34" s="112"/>
    </row>
    <row r="35" spans="1:11">
      <c r="A35" s="110"/>
      <c r="B35" s="111" t="s">
        <v>1453</v>
      </c>
      <c r="C35" s="112">
        <v>16979844</v>
      </c>
      <c r="D35" s="109">
        <f>46702312+3521476</f>
        <v>50223788</v>
      </c>
      <c r="E35" s="112">
        <f>+C35+D35</f>
        <v>67203632</v>
      </c>
      <c r="F35" s="112">
        <f>27239593+1565150</f>
        <v>28804743</v>
      </c>
      <c r="G35" s="112">
        <f>1961968+237994</f>
        <v>2199962</v>
      </c>
      <c r="H35" s="112"/>
      <c r="I35" s="112">
        <f>+E35-F35-G35</f>
        <v>36198927</v>
      </c>
    </row>
    <row r="36" spans="1:11">
      <c r="A36" s="110"/>
      <c r="B36" s="120" t="s">
        <v>1454</v>
      </c>
      <c r="C36" s="112">
        <v>3829393</v>
      </c>
      <c r="D36" s="109">
        <f>96110+169840</f>
        <v>265950</v>
      </c>
      <c r="E36" s="112">
        <f>+C36+D36</f>
        <v>4095343</v>
      </c>
      <c r="F36" s="109">
        <f>85000+159235</f>
        <v>244235</v>
      </c>
      <c r="G36" s="109"/>
      <c r="H36" s="109"/>
      <c r="I36" s="112">
        <f t="shared" ref="I36:I38" si="5">+E36-F36-G36</f>
        <v>3851108</v>
      </c>
    </row>
    <row r="37" spans="1:11">
      <c r="A37" s="110"/>
      <c r="B37" s="111" t="s">
        <v>1455</v>
      </c>
      <c r="C37" s="112">
        <v>16415684</v>
      </c>
      <c r="D37" s="112">
        <v>3791080</v>
      </c>
      <c r="E37" s="112">
        <f t="shared" ref="E37:E38" si="6">+C37+D37</f>
        <v>20206764</v>
      </c>
      <c r="F37" s="112">
        <v>1314815</v>
      </c>
      <c r="G37" s="112">
        <v>0</v>
      </c>
      <c r="H37" s="112"/>
      <c r="I37" s="112">
        <f t="shared" si="5"/>
        <v>18891949</v>
      </c>
      <c r="K37" s="137"/>
    </row>
    <row r="38" spans="1:11">
      <c r="A38" s="110"/>
      <c r="B38" s="120" t="s">
        <v>1456</v>
      </c>
      <c r="C38" s="112">
        <v>1101224</v>
      </c>
      <c r="D38" s="109">
        <v>148762</v>
      </c>
      <c r="E38" s="112">
        <f t="shared" si="6"/>
        <v>1249986</v>
      </c>
      <c r="F38" s="109">
        <v>179900</v>
      </c>
      <c r="G38" s="109"/>
      <c r="H38" s="109"/>
      <c r="I38" s="112">
        <f t="shared" si="5"/>
        <v>1070086</v>
      </c>
    </row>
    <row r="39" spans="1:11" s="101" customFormat="1">
      <c r="A39" s="121"/>
      <c r="B39" s="122"/>
      <c r="C39" s="123"/>
      <c r="D39" s="124"/>
      <c r="E39" s="124"/>
      <c r="F39" s="124"/>
      <c r="G39" s="124"/>
      <c r="H39" s="124"/>
      <c r="I39" s="124"/>
    </row>
    <row r="40" spans="1:11">
      <c r="A40" s="107">
        <v>8</v>
      </c>
      <c r="B40" s="125" t="s">
        <v>1457</v>
      </c>
      <c r="C40" s="112">
        <v>2186010</v>
      </c>
      <c r="D40" s="112">
        <v>113273689</v>
      </c>
      <c r="E40" s="112">
        <f>+C40+D40</f>
        <v>115459699</v>
      </c>
      <c r="F40" s="109">
        <f>112666098+35329</f>
        <v>112701427</v>
      </c>
      <c r="G40" s="109"/>
      <c r="H40" s="109"/>
      <c r="I40" s="112">
        <f>+E40-F40-G40</f>
        <v>2758272</v>
      </c>
    </row>
    <row r="41" spans="1:11" s="101" customFormat="1">
      <c r="A41" s="121"/>
      <c r="B41" s="122"/>
      <c r="C41" s="123"/>
      <c r="D41" s="124"/>
      <c r="E41" s="124"/>
      <c r="F41" s="124"/>
      <c r="G41" s="124"/>
      <c r="H41" s="124"/>
      <c r="I41" s="124"/>
      <c r="K41" s="101">
        <v>675585</v>
      </c>
    </row>
    <row r="42" spans="1:11" ht="15.75" customHeight="1">
      <c r="A42" s="107">
        <v>9</v>
      </c>
      <c r="B42" s="108" t="s">
        <v>1458</v>
      </c>
      <c r="C42" s="112">
        <v>-400856</v>
      </c>
      <c r="D42" s="109"/>
      <c r="E42" s="112">
        <f>+C42+D42</f>
        <v>-400856</v>
      </c>
      <c r="F42" s="109"/>
      <c r="G42" s="109"/>
      <c r="H42" s="109"/>
      <c r="I42" s="112">
        <f>+E42-F42-G42</f>
        <v>-400856</v>
      </c>
      <c r="K42" s="102">
        <v>-148762</v>
      </c>
    </row>
    <row r="43" spans="1:11" s="101" customFormat="1" ht="15.75" customHeight="1">
      <c r="A43" s="126"/>
      <c r="B43" s="127"/>
      <c r="C43" s="123"/>
      <c r="D43" s="124"/>
      <c r="E43" s="124"/>
      <c r="F43" s="109"/>
      <c r="G43" s="124"/>
      <c r="H43" s="124"/>
      <c r="I43" s="124"/>
      <c r="K43" s="101">
        <f>SUM(K41:K42)</f>
        <v>526823</v>
      </c>
    </row>
    <row r="44" spans="1:11">
      <c r="A44" s="107">
        <v>10</v>
      </c>
      <c r="B44" s="108" t="s">
        <v>1459</v>
      </c>
      <c r="C44" s="112"/>
      <c r="D44" s="109"/>
      <c r="E44" s="112">
        <f>+C44+D44</f>
        <v>0</v>
      </c>
      <c r="F44" s="109"/>
      <c r="G44" s="109"/>
      <c r="H44" s="109"/>
      <c r="I44" s="112">
        <f>E44-F44-G44</f>
        <v>0</v>
      </c>
    </row>
    <row r="45" spans="1:11">
      <c r="A45" s="107"/>
      <c r="B45" s="111"/>
      <c r="C45" s="112"/>
      <c r="D45" s="109"/>
      <c r="E45" s="109"/>
      <c r="F45" s="109"/>
      <c r="G45" s="109"/>
      <c r="H45" s="109"/>
      <c r="I45" s="109"/>
    </row>
    <row r="46" spans="1:11" ht="18.75" customHeight="1">
      <c r="A46" s="128"/>
      <c r="B46" s="129" t="s">
        <v>1460</v>
      </c>
      <c r="C46" s="130">
        <f>C44+C42+C40+C38+C37+C36+C35+C32+C30+C28+C26+C24+C16</f>
        <v>42599370</v>
      </c>
      <c r="D46" s="130">
        <f>D44+D42+D40+D38+D37+D36+D35+D32+D30+D28+D26+D24+D16</f>
        <v>807671791</v>
      </c>
      <c r="E46" s="130">
        <f>D46+C46</f>
        <v>850271161</v>
      </c>
      <c r="F46" s="130">
        <f>F44+F42+F40+F38+F37+F36+F35+F32+F30+F28+F26+F24+F16</f>
        <v>754314573</v>
      </c>
      <c r="G46" s="130">
        <f>G44+G42+G40+G38+G37+G36+G35+G32+G30+G28+G26+G24+G16</f>
        <v>20803244</v>
      </c>
      <c r="H46" s="130"/>
      <c r="I46" s="112">
        <f>E46-F46-G46</f>
        <v>75153344</v>
      </c>
      <c r="J46" s="137"/>
      <c r="K46" s="102">
        <v>55090876</v>
      </c>
    </row>
    <row r="47" spans="1:11">
      <c r="A47" s="131"/>
      <c r="B47" s="132"/>
      <c r="C47" s="133"/>
      <c r="D47" s="134"/>
      <c r="E47" s="134"/>
      <c r="F47" s="134"/>
      <c r="G47" s="134"/>
      <c r="H47" s="134"/>
      <c r="I47" s="134"/>
      <c r="K47" s="102">
        <v>-54990876</v>
      </c>
    </row>
    <row r="48" spans="1:11">
      <c r="A48" s="131"/>
      <c r="B48" s="132"/>
      <c r="C48" s="135"/>
      <c r="F48" s="134"/>
      <c r="G48" s="134"/>
      <c r="H48" s="134"/>
      <c r="I48" s="134"/>
    </row>
    <row r="49" spans="1:9" ht="21">
      <c r="A49" s="1645" t="s">
        <v>20</v>
      </c>
      <c r="B49" s="1645"/>
      <c r="C49" s="1645"/>
      <c r="D49" s="1645"/>
      <c r="E49" s="1645"/>
      <c r="F49" s="1645"/>
      <c r="G49" s="1645"/>
      <c r="H49" s="1645"/>
      <c r="I49" s="1645"/>
    </row>
    <row r="50" spans="1:9">
      <c r="C50" s="136"/>
    </row>
    <row r="51" spans="1:9">
      <c r="I51" s="132"/>
    </row>
    <row r="52" spans="1:9">
      <c r="D52" s="137"/>
      <c r="F52" s="137"/>
    </row>
    <row r="53" spans="1:9">
      <c r="F53" s="137"/>
    </row>
  </sheetData>
  <mergeCells count="12">
    <mergeCell ref="A2:I2"/>
    <mergeCell ref="A3:I3"/>
    <mergeCell ref="A49:I49"/>
    <mergeCell ref="A5:A7"/>
    <mergeCell ref="B5:B7"/>
    <mergeCell ref="C5:C7"/>
    <mergeCell ref="D5:D7"/>
    <mergeCell ref="E5:E7"/>
    <mergeCell ref="F5:F7"/>
    <mergeCell ref="G5:G7"/>
    <mergeCell ref="H5:H7"/>
    <mergeCell ref="I5:I7"/>
  </mergeCells>
  <printOptions horizontalCentered="1" verticalCentered="1"/>
  <pageMargins left="0" right="0" top="0" bottom="0" header="0.35433070866141703" footer="0.31496062992126"/>
  <pageSetup paperSize="9" scale="68"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M34"/>
  <sheetViews>
    <sheetView view="pageBreakPreview" topLeftCell="A4" zoomScale="85" zoomScaleNormal="100" workbookViewId="0">
      <selection activeCell="D17" sqref="D17"/>
    </sheetView>
  </sheetViews>
  <sheetFormatPr defaultColWidth="9" defaultRowHeight="12.75"/>
  <cols>
    <col min="1" max="1" width="19.5703125" customWidth="1"/>
    <col min="2" max="2" width="88.7109375" customWidth="1"/>
    <col min="3" max="3" width="11.5703125" customWidth="1"/>
    <col min="9" max="9" width="10.42578125" customWidth="1"/>
  </cols>
  <sheetData>
    <row r="1" spans="1:13" ht="18.75">
      <c r="B1" s="71" t="s">
        <v>1910</v>
      </c>
    </row>
    <row r="2" spans="1:13" ht="18.75">
      <c r="B2" s="71" t="s">
        <v>43</v>
      </c>
    </row>
    <row r="3" spans="1:13" ht="21">
      <c r="B3" s="93" t="s">
        <v>618</v>
      </c>
    </row>
    <row r="4" spans="1:13" ht="14.25">
      <c r="A4" s="1663" t="s">
        <v>1803</v>
      </c>
      <c r="B4" s="1663"/>
      <c r="C4" s="88"/>
      <c r="D4" s="88"/>
      <c r="E4" s="88"/>
      <c r="F4" s="88"/>
      <c r="G4" s="88"/>
      <c r="H4" s="88"/>
    </row>
    <row r="5" spans="1:13" ht="14.25">
      <c r="A5" s="89"/>
    </row>
    <row r="6" spans="1:13" ht="14.25">
      <c r="A6" s="89"/>
    </row>
    <row r="7" spans="1:13" ht="14.25">
      <c r="A7" s="1664" t="s">
        <v>1805</v>
      </c>
      <c r="B7" s="1664"/>
      <c r="C7" s="1664"/>
      <c r="D7" s="88"/>
      <c r="E7" s="88"/>
      <c r="F7" s="88"/>
      <c r="G7" s="88"/>
      <c r="H7" s="88"/>
      <c r="I7" s="88"/>
      <c r="J7" s="88"/>
      <c r="K7" s="88"/>
      <c r="L7" s="88"/>
      <c r="M7" s="88"/>
    </row>
    <row r="8" spans="1:13" ht="15.75">
      <c r="A8" s="1665" t="s">
        <v>1461</v>
      </c>
      <c r="B8" s="1666"/>
      <c r="C8" s="94" t="s">
        <v>1462</v>
      </c>
    </row>
    <row r="9" spans="1:13" ht="15.75">
      <c r="A9" s="95" t="s">
        <v>1463</v>
      </c>
      <c r="B9" s="96" t="s">
        <v>1464</v>
      </c>
      <c r="C9" s="97">
        <v>25765032</v>
      </c>
    </row>
    <row r="10" spans="1:13" ht="18.75" customHeight="1">
      <c r="A10" s="95" t="s">
        <v>1465</v>
      </c>
      <c r="B10" s="96" t="s">
        <v>1466</v>
      </c>
      <c r="C10" s="97">
        <v>17916000</v>
      </c>
    </row>
    <row r="11" spans="1:13" ht="18.75" customHeight="1">
      <c r="A11" s="95" t="s">
        <v>1467</v>
      </c>
      <c r="B11" s="96" t="s">
        <v>1468</v>
      </c>
      <c r="C11" s="97">
        <f>SUM(C9:C10)</f>
        <v>43681032</v>
      </c>
    </row>
    <row r="12" spans="1:13" ht="18.75" customHeight="1">
      <c r="A12" s="95" t="s">
        <v>1469</v>
      </c>
      <c r="B12" s="96" t="s">
        <v>1470</v>
      </c>
      <c r="C12" s="97">
        <v>43681032</v>
      </c>
    </row>
    <row r="13" spans="1:13" ht="18.75" customHeight="1">
      <c r="A13" s="95" t="s">
        <v>1471</v>
      </c>
      <c r="B13" s="96" t="s">
        <v>1472</v>
      </c>
      <c r="C13" s="97">
        <v>0</v>
      </c>
    </row>
    <row r="14" spans="1:13" ht="18.75" customHeight="1">
      <c r="A14" s="95" t="s">
        <v>1473</v>
      </c>
      <c r="B14" s="96" t="s">
        <v>1474</v>
      </c>
      <c r="C14" s="97">
        <v>0</v>
      </c>
    </row>
    <row r="15" spans="1:13" ht="18.75" customHeight="1">
      <c r="A15" s="1667" t="s">
        <v>1475</v>
      </c>
      <c r="B15" s="1668"/>
      <c r="C15" s="1669"/>
    </row>
    <row r="16" spans="1:13" ht="18.75" customHeight="1">
      <c r="A16" s="95" t="s">
        <v>1476</v>
      </c>
      <c r="B16" s="96" t="s">
        <v>1477</v>
      </c>
      <c r="C16" s="97">
        <v>25765032</v>
      </c>
    </row>
    <row r="17" spans="1:3" ht="18.75" customHeight="1">
      <c r="A17" s="95" t="s">
        <v>1478</v>
      </c>
      <c r="B17" s="96" t="s">
        <v>1479</v>
      </c>
      <c r="C17" s="97">
        <v>17916000</v>
      </c>
    </row>
    <row r="18" spans="1:3" ht="18.75" customHeight="1">
      <c r="A18" s="95" t="s">
        <v>1480</v>
      </c>
      <c r="B18" s="96" t="s">
        <v>1481</v>
      </c>
      <c r="C18" s="97">
        <f>SUM(C16:C17)</f>
        <v>43681032</v>
      </c>
    </row>
    <row r="19" spans="1:3" ht="18.75" customHeight="1">
      <c r="A19" s="95" t="s">
        <v>1482</v>
      </c>
      <c r="B19" s="96" t="s">
        <v>1483</v>
      </c>
      <c r="C19" s="97">
        <v>43681032</v>
      </c>
    </row>
    <row r="20" spans="1:3" ht="18.75" customHeight="1">
      <c r="A20" s="95" t="s">
        <v>1484</v>
      </c>
      <c r="B20" s="96" t="s">
        <v>1485</v>
      </c>
      <c r="C20" s="97">
        <v>0</v>
      </c>
    </row>
    <row r="21" spans="1:3" ht="18.75" customHeight="1">
      <c r="A21" s="95" t="s">
        <v>1486</v>
      </c>
      <c r="B21" s="96" t="s">
        <v>1487</v>
      </c>
      <c r="C21" s="97">
        <v>0</v>
      </c>
    </row>
    <row r="22" spans="1:3" ht="15.75">
      <c r="A22" s="98"/>
      <c r="B22" s="18"/>
      <c r="C22" s="97"/>
    </row>
    <row r="23" spans="1:3" ht="18.75">
      <c r="A23" s="95" t="s">
        <v>1488</v>
      </c>
      <c r="B23" s="96" t="s">
        <v>1489</v>
      </c>
      <c r="C23" s="97">
        <v>0</v>
      </c>
    </row>
    <row r="24" spans="1:3" ht="15.75">
      <c r="A24" s="95" t="s">
        <v>1490</v>
      </c>
      <c r="B24" s="96" t="s">
        <v>1491</v>
      </c>
      <c r="C24" s="97">
        <v>0</v>
      </c>
    </row>
    <row r="25" spans="1:3" ht="15.75">
      <c r="A25" s="99"/>
      <c r="B25" s="18"/>
      <c r="C25" s="100"/>
    </row>
    <row r="26" spans="1:3">
      <c r="A26" s="1670" t="s">
        <v>1492</v>
      </c>
      <c r="B26" s="1671"/>
      <c r="C26" s="1672"/>
    </row>
    <row r="27" spans="1:3" ht="15">
      <c r="A27" s="1656" t="s">
        <v>1493</v>
      </c>
      <c r="B27" s="1657"/>
      <c r="C27" s="1658"/>
    </row>
    <row r="28" spans="1:3" ht="34.5" customHeight="1">
      <c r="A28" s="1656" t="s">
        <v>1494</v>
      </c>
      <c r="B28" s="1657"/>
      <c r="C28" s="1658"/>
    </row>
    <row r="29" spans="1:3" ht="15">
      <c r="A29" s="1656" t="s">
        <v>1495</v>
      </c>
      <c r="B29" s="1657"/>
      <c r="C29" s="1658"/>
    </row>
    <row r="30" spans="1:3" ht="18" customHeight="1">
      <c r="A30" s="1659" t="s">
        <v>1496</v>
      </c>
      <c r="B30" s="1660"/>
      <c r="C30" s="1661"/>
    </row>
    <row r="31" spans="1:3" ht="15">
      <c r="A31" s="1662" t="s">
        <v>1497</v>
      </c>
      <c r="B31" s="1662"/>
      <c r="C31" s="1662"/>
    </row>
    <row r="34" spans="2:2" ht="15">
      <c r="B34" s="72" t="s">
        <v>20</v>
      </c>
    </row>
  </sheetData>
  <mergeCells count="10">
    <mergeCell ref="A4:B4"/>
    <mergeCell ref="A7:C7"/>
    <mergeCell ref="A8:B8"/>
    <mergeCell ref="A15:C15"/>
    <mergeCell ref="A26:C26"/>
    <mergeCell ref="A27:C27"/>
    <mergeCell ref="A28:C28"/>
    <mergeCell ref="A29:C29"/>
    <mergeCell ref="A30:C30"/>
    <mergeCell ref="A31:C31"/>
  </mergeCells>
  <printOptions horizontalCentered="1" verticalCentered="1"/>
  <pageMargins left="0" right="0" top="0" bottom="0" header="0.35433070866141703" footer="0.31496062992126"/>
  <pageSetup paperSize="9" scale="9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E26"/>
  <sheetViews>
    <sheetView view="pageBreakPreview" zoomScaleNormal="100" workbookViewId="0">
      <selection activeCell="B1" sqref="B1:C1"/>
    </sheetView>
  </sheetViews>
  <sheetFormatPr defaultColWidth="9" defaultRowHeight="12.75"/>
  <cols>
    <col min="1" max="1" width="12.85546875" customWidth="1"/>
    <col min="2" max="2" width="40.42578125" customWidth="1"/>
    <col min="3" max="3" width="22.140625" customWidth="1"/>
    <col min="4" max="4" width="19.28515625" customWidth="1"/>
  </cols>
  <sheetData>
    <row r="1" spans="1:4" ht="18.75">
      <c r="B1" s="1640" t="s">
        <v>1910</v>
      </c>
      <c r="C1" s="1640"/>
    </row>
    <row r="2" spans="1:4" ht="18.75">
      <c r="B2" s="1640" t="s">
        <v>43</v>
      </c>
      <c r="C2" s="1640"/>
      <c r="D2" s="86"/>
    </row>
    <row r="3" spans="1:4" ht="18.75">
      <c r="B3" s="71"/>
      <c r="D3" s="86" t="s">
        <v>1498</v>
      </c>
    </row>
    <row r="5" spans="1:4" ht="14.25">
      <c r="A5" s="87" t="s">
        <v>1804</v>
      </c>
      <c r="B5" s="88"/>
    </row>
    <row r="6" spans="1:4" ht="14.25">
      <c r="A6" s="89"/>
    </row>
    <row r="7" spans="1:4">
      <c r="A7" s="1673" t="s">
        <v>1805</v>
      </c>
      <c r="B7" s="1674"/>
      <c r="C7" s="1674"/>
      <c r="D7" s="1675"/>
    </row>
    <row r="8" spans="1:4" ht="14.25">
      <c r="A8" s="89"/>
    </row>
    <row r="9" spans="1:4" ht="14.25">
      <c r="A9" s="89"/>
    </row>
    <row r="10" spans="1:4" ht="15">
      <c r="A10" s="1676" t="s">
        <v>1499</v>
      </c>
      <c r="B10" s="1676"/>
      <c r="C10" s="1676"/>
      <c r="D10" s="1676"/>
    </row>
    <row r="11" spans="1:4" ht="15.75">
      <c r="A11" s="90" t="s">
        <v>796</v>
      </c>
      <c r="B11" s="91" t="s">
        <v>1500</v>
      </c>
      <c r="C11" s="92" t="s">
        <v>1501</v>
      </c>
      <c r="D11" s="92" t="s">
        <v>534</v>
      </c>
    </row>
    <row r="12" spans="1:4">
      <c r="A12" s="18"/>
      <c r="B12" s="18"/>
      <c r="C12" s="18"/>
      <c r="D12" s="18"/>
    </row>
    <row r="13" spans="1:4">
      <c r="A13" s="18"/>
      <c r="B13" s="18"/>
      <c r="C13" s="18"/>
      <c r="D13" s="18"/>
    </row>
    <row r="14" spans="1:4">
      <c r="A14" s="18"/>
      <c r="B14" s="18"/>
      <c r="C14" s="18"/>
      <c r="D14" s="18"/>
    </row>
    <row r="15" spans="1:4">
      <c r="A15" s="18"/>
      <c r="B15" s="18"/>
      <c r="C15" s="18"/>
      <c r="D15" s="18"/>
    </row>
    <row r="16" spans="1:4">
      <c r="A16" s="18"/>
      <c r="B16" s="18"/>
      <c r="C16" s="18"/>
      <c r="D16" s="18"/>
    </row>
    <row r="17" spans="1:5">
      <c r="A17" s="18"/>
      <c r="B17" s="18"/>
      <c r="C17" s="18"/>
      <c r="D17" s="18">
        <f>SUM(D9:D16)</f>
        <v>0</v>
      </c>
    </row>
    <row r="18" spans="1:5">
      <c r="A18" s="18"/>
      <c r="B18" s="18"/>
      <c r="C18" s="18"/>
      <c r="D18" s="18"/>
    </row>
    <row r="19" spans="1:5">
      <c r="A19" s="18"/>
      <c r="B19" s="18"/>
      <c r="C19" s="18"/>
      <c r="D19" s="18"/>
    </row>
    <row r="20" spans="1:5">
      <c r="A20" s="18"/>
      <c r="B20" s="18"/>
      <c r="C20" s="18" t="s">
        <v>12</v>
      </c>
      <c r="D20" s="18">
        <f>SUM(D12:D19)</f>
        <v>0</v>
      </c>
    </row>
    <row r="26" spans="1:5" ht="15">
      <c r="A26" s="1477" t="s">
        <v>20</v>
      </c>
      <c r="B26" s="1477"/>
      <c r="C26" s="1477"/>
      <c r="D26" s="1477"/>
      <c r="E26" s="72"/>
    </row>
  </sheetData>
  <mergeCells count="5">
    <mergeCell ref="B1:C1"/>
    <mergeCell ref="B2:C2"/>
    <mergeCell ref="A7:D7"/>
    <mergeCell ref="A10:D10"/>
    <mergeCell ref="A26:D26"/>
  </mergeCells>
  <printOptions horizontalCentered="1" verticalCentered="1"/>
  <pageMargins left="0" right="0" top="0" bottom="0" header="0.35433070866141703" footer="0.31496062992126"/>
  <pageSetup paperSize="9" scale="9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1:E26"/>
  <sheetViews>
    <sheetView view="pageBreakPreview" topLeftCell="A10" zoomScale="130" zoomScaleNormal="100" zoomScaleSheetLayoutView="130" workbookViewId="0">
      <selection activeCell="C1" sqref="C1:D1"/>
    </sheetView>
  </sheetViews>
  <sheetFormatPr defaultColWidth="9" defaultRowHeight="12.75"/>
  <cols>
    <col min="2" max="2" width="12.85546875" customWidth="1"/>
    <col min="3" max="3" width="40.42578125" customWidth="1"/>
    <col min="4" max="4" width="22.140625" customWidth="1"/>
    <col min="5" max="5" width="18.28515625" customWidth="1"/>
  </cols>
  <sheetData>
    <row r="1" spans="2:5" ht="18.75">
      <c r="C1" s="1640" t="s">
        <v>1910</v>
      </c>
      <c r="D1" s="1640"/>
    </row>
    <row r="2" spans="2:5" ht="18.75">
      <c r="C2" s="1640" t="s">
        <v>43</v>
      </c>
      <c r="D2" s="1640"/>
      <c r="E2" s="86"/>
    </row>
    <row r="3" spans="2:5" ht="18.75">
      <c r="C3" s="71"/>
      <c r="D3" s="71"/>
      <c r="E3" s="86"/>
    </row>
    <row r="4" spans="2:5">
      <c r="E4" s="86" t="s">
        <v>1502</v>
      </c>
    </row>
    <row r="5" spans="2:5" ht="14.25">
      <c r="B5" s="87" t="s">
        <v>1804</v>
      </c>
      <c r="C5" s="88"/>
    </row>
    <row r="6" spans="2:5" ht="14.25">
      <c r="B6" s="89"/>
    </row>
    <row r="7" spans="2:5">
      <c r="B7" s="1673" t="s">
        <v>1805</v>
      </c>
      <c r="C7" s="1674"/>
      <c r="D7" s="1674"/>
      <c r="E7" s="1675"/>
    </row>
    <row r="8" spans="2:5" ht="14.25">
      <c r="B8" s="89"/>
    </row>
    <row r="9" spans="2:5" ht="14.25">
      <c r="B9" s="89"/>
    </row>
    <row r="10" spans="2:5" ht="15">
      <c r="B10" s="1676" t="s">
        <v>1503</v>
      </c>
      <c r="C10" s="1676"/>
      <c r="D10" s="1676"/>
      <c r="E10" s="1676"/>
    </row>
    <row r="11" spans="2:5" ht="15.75">
      <c r="B11" s="90" t="s">
        <v>796</v>
      </c>
      <c r="C11" s="91" t="s">
        <v>1500</v>
      </c>
      <c r="D11" s="92" t="s">
        <v>1501</v>
      </c>
      <c r="E11" s="92" t="s">
        <v>534</v>
      </c>
    </row>
    <row r="12" spans="2:5">
      <c r="B12" s="18"/>
      <c r="C12" s="18"/>
      <c r="D12" s="18"/>
      <c r="E12" s="18"/>
    </row>
    <row r="13" spans="2:5">
      <c r="B13" s="18"/>
      <c r="C13" s="18"/>
      <c r="D13" s="18"/>
      <c r="E13" s="18"/>
    </row>
    <row r="14" spans="2:5">
      <c r="B14" s="18"/>
      <c r="C14" s="18"/>
      <c r="D14" s="18"/>
      <c r="E14" s="18"/>
    </row>
    <row r="15" spans="2:5">
      <c r="B15" s="18"/>
      <c r="C15" s="18"/>
      <c r="D15" s="18"/>
      <c r="E15" s="18"/>
    </row>
    <row r="16" spans="2:5">
      <c r="B16" s="18"/>
      <c r="C16" s="18"/>
      <c r="D16" s="18"/>
      <c r="E16" s="18"/>
    </row>
    <row r="17" spans="2:5">
      <c r="B17" s="18"/>
      <c r="C17" s="18"/>
      <c r="D17" s="18">
        <f>SUM(D9:D16)</f>
        <v>0</v>
      </c>
      <c r="E17" s="18"/>
    </row>
    <row r="18" spans="2:5">
      <c r="B18" s="18"/>
      <c r="C18" s="18"/>
      <c r="D18" s="18"/>
      <c r="E18" s="18"/>
    </row>
    <row r="19" spans="2:5">
      <c r="B19" s="18"/>
      <c r="C19" s="18"/>
      <c r="D19" s="18"/>
      <c r="E19" s="18"/>
    </row>
    <row r="20" spans="2:5">
      <c r="B20" s="18"/>
      <c r="C20" s="18"/>
      <c r="D20" s="18" t="s">
        <v>12</v>
      </c>
      <c r="E20" s="18">
        <f>SUM(E12:E19)</f>
        <v>0</v>
      </c>
    </row>
    <row r="26" spans="2:5" ht="15">
      <c r="E26" s="72" t="s">
        <v>20</v>
      </c>
    </row>
  </sheetData>
  <mergeCells count="4">
    <mergeCell ref="C1:D1"/>
    <mergeCell ref="C2:D2"/>
    <mergeCell ref="B7:E7"/>
    <mergeCell ref="B10:E10"/>
  </mergeCells>
  <printOptions horizontalCentered="1" verticalCentered="1"/>
  <pageMargins left="0" right="0" top="0" bottom="0" header="0.35433070866141703" footer="0.31496062992126"/>
  <pageSetup paperSize="9" scale="9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2:H17"/>
  <sheetViews>
    <sheetView view="pageBreakPreview" zoomScale="145" zoomScaleNormal="145" workbookViewId="0">
      <selection activeCell="F18" sqref="F18"/>
    </sheetView>
  </sheetViews>
  <sheetFormatPr defaultColWidth="9" defaultRowHeight="12.75"/>
  <cols>
    <col min="1" max="1" width="6.7109375" style="78" customWidth="1"/>
    <col min="2" max="2" width="67.5703125" customWidth="1"/>
    <col min="3" max="3" width="14.28515625" customWidth="1"/>
  </cols>
  <sheetData>
    <row r="2" spans="1:8" ht="18.75">
      <c r="B2" s="71" t="s">
        <v>1910</v>
      </c>
      <c r="C2" s="79"/>
      <c r="D2" s="79"/>
      <c r="E2" s="79"/>
      <c r="F2" s="79"/>
      <c r="G2" s="79"/>
      <c r="H2" s="79"/>
    </row>
    <row r="3" spans="1:8" ht="18.75">
      <c r="B3" s="71" t="s">
        <v>43</v>
      </c>
      <c r="C3" s="79"/>
      <c r="D3" s="79"/>
      <c r="E3" s="79"/>
      <c r="F3" s="79"/>
      <c r="G3" s="79"/>
      <c r="H3" s="79"/>
    </row>
    <row r="4" spans="1:8">
      <c r="B4" s="80" t="s">
        <v>1504</v>
      </c>
    </row>
    <row r="5" spans="1:8">
      <c r="B5" s="78"/>
    </row>
    <row r="6" spans="1:8" ht="15">
      <c r="A6" s="81"/>
      <c r="B6" s="12" t="s">
        <v>1807</v>
      </c>
      <c r="C6" s="82"/>
    </row>
    <row r="7" spans="1:8" ht="15">
      <c r="A7" s="81"/>
      <c r="B7" s="12"/>
      <c r="C7" s="82"/>
    </row>
    <row r="8" spans="1:8" ht="15">
      <c r="A8" s="81"/>
      <c r="B8" s="12" t="s">
        <v>1806</v>
      </c>
      <c r="C8" s="82"/>
    </row>
    <row r="9" spans="1:8" s="77" customFormat="1" ht="12.75" customHeight="1">
      <c r="A9" s="83" t="s">
        <v>581</v>
      </c>
      <c r="B9" s="84" t="s">
        <v>1505</v>
      </c>
      <c r="C9" s="83" t="s">
        <v>534</v>
      </c>
    </row>
    <row r="10" spans="1:8" ht="15">
      <c r="A10" s="81">
        <v>1</v>
      </c>
      <c r="B10" s="12" t="s">
        <v>1506</v>
      </c>
      <c r="C10" s="82">
        <v>242018</v>
      </c>
    </row>
    <row r="11" spans="1:8" ht="15">
      <c r="A11" s="81">
        <v>2</v>
      </c>
      <c r="B11" s="12" t="s">
        <v>1507</v>
      </c>
      <c r="C11" s="82">
        <v>9983204</v>
      </c>
    </row>
    <row r="12" spans="1:8" ht="15">
      <c r="A12" s="81">
        <v>3</v>
      </c>
      <c r="B12" s="12" t="s">
        <v>1508</v>
      </c>
      <c r="C12" s="82">
        <v>17248.41</v>
      </c>
    </row>
    <row r="13" spans="1:8" ht="15">
      <c r="A13" s="81">
        <v>4</v>
      </c>
      <c r="B13" s="12" t="s">
        <v>1509</v>
      </c>
      <c r="C13" s="82">
        <v>758</v>
      </c>
    </row>
    <row r="14" spans="1:8" ht="15">
      <c r="A14" s="81">
        <v>5</v>
      </c>
      <c r="B14" s="12" t="s">
        <v>1510</v>
      </c>
      <c r="C14" s="82">
        <v>2100854.7999999998</v>
      </c>
    </row>
    <row r="15" spans="1:8" ht="15">
      <c r="A15" s="81"/>
      <c r="B15" s="12" t="s">
        <v>12</v>
      </c>
      <c r="C15" s="1112">
        <f>C10+C11-C12-C13+C14</f>
        <v>12308070.390000001</v>
      </c>
    </row>
    <row r="16" spans="1:8" ht="15">
      <c r="A16" s="81">
        <v>6</v>
      </c>
      <c r="B16" s="12" t="s">
        <v>1511</v>
      </c>
      <c r="C16" s="82">
        <v>12308070.390000001</v>
      </c>
    </row>
    <row r="17" spans="1:4" ht="15">
      <c r="A17" s="81"/>
      <c r="B17" s="12" t="s">
        <v>1512</v>
      </c>
      <c r="C17" s="1112">
        <f>C15-C16</f>
        <v>0</v>
      </c>
      <c r="D17">
        <f>SUM(D9:D16)</f>
        <v>0</v>
      </c>
    </row>
  </sheetData>
  <printOptions horizontalCentered="1" verticalCentered="1"/>
  <pageMargins left="0" right="0" top="0" bottom="0" header="0.35433070866141703" footer="0.31496062992126"/>
  <pageSetup paperSize="9" scale="9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E29"/>
  <sheetViews>
    <sheetView view="pageBreakPreview" topLeftCell="A13" zoomScale="130" zoomScaleNormal="100" workbookViewId="0">
      <selection activeCell="C1" sqref="C1"/>
    </sheetView>
  </sheetViews>
  <sheetFormatPr defaultColWidth="9" defaultRowHeight="12.75"/>
  <cols>
    <col min="1" max="1" width="13.5703125" customWidth="1"/>
    <col min="2" max="2" width="19" customWidth="1"/>
    <col min="3" max="3" width="15.42578125" customWidth="1"/>
    <col min="4" max="4" width="16.85546875" customWidth="1"/>
    <col min="5" max="5" width="12.28515625" customWidth="1"/>
  </cols>
  <sheetData>
    <row r="1" spans="1:5" ht="18.75">
      <c r="C1" s="71" t="s">
        <v>1910</v>
      </c>
    </row>
    <row r="2" spans="1:5" ht="18.75">
      <c r="C2" s="71" t="s">
        <v>43</v>
      </c>
    </row>
    <row r="5" spans="1:5" ht="15">
      <c r="A5" s="1677" t="s">
        <v>1513</v>
      </c>
      <c r="B5" s="1678"/>
      <c r="C5" s="1678"/>
      <c r="D5" s="1678"/>
      <c r="E5" s="1679"/>
    </row>
    <row r="6" spans="1:5" ht="15">
      <c r="A6" s="12" t="s">
        <v>1514</v>
      </c>
      <c r="B6" s="12"/>
      <c r="C6" s="12"/>
      <c r="D6" s="12"/>
      <c r="E6" s="12"/>
    </row>
    <row r="7" spans="1:5" ht="15">
      <c r="A7" s="12"/>
      <c r="B7" s="12"/>
      <c r="C7" s="12"/>
      <c r="D7" s="12"/>
      <c r="E7" s="12"/>
    </row>
    <row r="8" spans="1:5" ht="15">
      <c r="A8" s="5" t="s">
        <v>581</v>
      </c>
      <c r="B8" s="5" t="s">
        <v>1515</v>
      </c>
      <c r="C8" s="5" t="s">
        <v>1516</v>
      </c>
      <c r="D8" s="5" t="s">
        <v>534</v>
      </c>
      <c r="E8" s="12"/>
    </row>
    <row r="9" spans="1:5" ht="15.75">
      <c r="A9" s="1122">
        <v>1</v>
      </c>
      <c r="B9" s="1123">
        <v>733013</v>
      </c>
      <c r="C9" s="1124"/>
      <c r="D9" s="1120">
        <v>193750</v>
      </c>
      <c r="E9" s="12"/>
    </row>
    <row r="10" spans="1:5" ht="15.75">
      <c r="A10" s="1122">
        <v>2</v>
      </c>
      <c r="B10" s="1125">
        <v>733031</v>
      </c>
      <c r="C10" s="1124"/>
      <c r="D10" s="1121">
        <v>481</v>
      </c>
      <c r="E10" s="12"/>
    </row>
    <row r="11" spans="1:5" ht="15.75">
      <c r="A11" s="1122">
        <v>3</v>
      </c>
      <c r="B11" s="1125">
        <v>854403</v>
      </c>
      <c r="C11" s="1124"/>
      <c r="D11" s="1121">
        <v>367317</v>
      </c>
      <c r="E11" s="12"/>
    </row>
    <row r="12" spans="1:5" ht="15.75">
      <c r="A12" s="1122">
        <v>4</v>
      </c>
      <c r="B12" s="1125">
        <v>854404</v>
      </c>
      <c r="C12" s="1124"/>
      <c r="D12" s="1121">
        <v>1839</v>
      </c>
      <c r="E12" s="12"/>
    </row>
    <row r="13" spans="1:5" ht="15.75">
      <c r="A13" s="1122">
        <v>5</v>
      </c>
      <c r="B13" s="1125">
        <v>854406</v>
      </c>
      <c r="C13" s="1124"/>
      <c r="D13" s="1121">
        <v>1371765</v>
      </c>
      <c r="E13" s="12"/>
    </row>
    <row r="14" spans="1:5" ht="15.75">
      <c r="A14" s="1122">
        <v>6</v>
      </c>
      <c r="B14" s="1125">
        <v>854407</v>
      </c>
      <c r="C14" s="1124"/>
      <c r="D14" s="1121">
        <v>1025</v>
      </c>
      <c r="E14" s="12"/>
    </row>
    <row r="15" spans="1:5" ht="15.75">
      <c r="A15" s="1122">
        <v>7</v>
      </c>
      <c r="B15" s="1125">
        <v>854408</v>
      </c>
      <c r="C15" s="1124"/>
      <c r="D15" s="1121">
        <v>499477</v>
      </c>
      <c r="E15" s="12"/>
    </row>
    <row r="16" spans="1:5" ht="15.75">
      <c r="A16" s="1122">
        <v>8</v>
      </c>
      <c r="B16" s="1125">
        <v>854409</v>
      </c>
      <c r="C16" s="1124"/>
      <c r="D16" s="1121">
        <v>2438538</v>
      </c>
      <c r="E16" s="12"/>
    </row>
    <row r="17" spans="1:5" ht="15.75">
      <c r="A17" s="1122">
        <v>9</v>
      </c>
      <c r="B17" s="1125">
        <v>854410</v>
      </c>
      <c r="C17" s="1124"/>
      <c r="D17" s="1121">
        <v>3320</v>
      </c>
      <c r="E17" s="12"/>
    </row>
    <row r="18" spans="1:5" ht="15.75">
      <c r="A18" s="1122">
        <v>10</v>
      </c>
      <c r="B18" s="1125">
        <v>854411</v>
      </c>
      <c r="C18" s="1124"/>
      <c r="D18" s="1121">
        <v>756480</v>
      </c>
      <c r="E18" s="12"/>
    </row>
    <row r="19" spans="1:5" ht="15.75">
      <c r="A19" s="1122">
        <v>11</v>
      </c>
      <c r="B19" s="1125">
        <v>854412</v>
      </c>
      <c r="C19" s="1124"/>
      <c r="D19" s="1121">
        <v>133020</v>
      </c>
      <c r="E19" s="12"/>
    </row>
    <row r="20" spans="1:5" ht="15.75">
      <c r="A20" s="1122">
        <v>12</v>
      </c>
      <c r="B20" s="1125">
        <v>854413</v>
      </c>
      <c r="C20" s="1124"/>
      <c r="D20" s="1121">
        <v>1613041</v>
      </c>
      <c r="E20" s="12"/>
    </row>
    <row r="21" spans="1:5" ht="15.75">
      <c r="A21" s="1122">
        <v>13</v>
      </c>
      <c r="B21" s="1125">
        <v>854414</v>
      </c>
      <c r="C21" s="1126"/>
      <c r="D21" s="1121">
        <v>1079550</v>
      </c>
      <c r="E21" s="12"/>
    </row>
    <row r="22" spans="1:5" ht="15.75">
      <c r="A22" s="1122">
        <v>14</v>
      </c>
      <c r="B22" s="1125">
        <v>854415</v>
      </c>
      <c r="C22" s="1126"/>
      <c r="D22" s="1121">
        <v>610</v>
      </c>
      <c r="E22" s="12"/>
    </row>
    <row r="23" spans="1:5" ht="15.75">
      <c r="A23" s="1122">
        <v>15</v>
      </c>
      <c r="B23" s="1125">
        <v>854416</v>
      </c>
      <c r="C23" s="1126"/>
      <c r="D23" s="1121">
        <v>16899</v>
      </c>
      <c r="E23" s="12"/>
    </row>
    <row r="24" spans="1:5" ht="15.75">
      <c r="A24" s="1122">
        <v>16</v>
      </c>
      <c r="B24" s="1125">
        <v>854417</v>
      </c>
      <c r="C24" s="1126"/>
      <c r="D24" s="1121">
        <v>1150000</v>
      </c>
      <c r="E24" s="12"/>
    </row>
    <row r="25" spans="1:5" ht="15.75">
      <c r="A25" s="1122">
        <v>17</v>
      </c>
      <c r="B25" s="1125">
        <v>854418</v>
      </c>
      <c r="C25" s="1126"/>
      <c r="D25" s="1121">
        <v>44960</v>
      </c>
      <c r="E25" s="12"/>
    </row>
    <row r="26" spans="1:5" ht="15.75">
      <c r="A26" s="1122">
        <v>18</v>
      </c>
      <c r="B26" s="1125">
        <v>854419</v>
      </c>
      <c r="C26" s="1126"/>
      <c r="D26" s="1121">
        <v>124028</v>
      </c>
      <c r="E26" s="12"/>
    </row>
    <row r="27" spans="1:5" ht="15.75">
      <c r="A27" s="1122">
        <v>19</v>
      </c>
      <c r="B27" s="1125">
        <v>854420</v>
      </c>
      <c r="C27" s="1126"/>
      <c r="D27" s="1121">
        <v>187104</v>
      </c>
      <c r="E27" s="12"/>
    </row>
    <row r="28" spans="1:5" ht="23.25">
      <c r="A28" s="5"/>
      <c r="B28" s="1119"/>
      <c r="C28" s="12"/>
      <c r="D28" s="12"/>
      <c r="E28" s="12"/>
    </row>
    <row r="29" spans="1:5" ht="23.25">
      <c r="A29" s="12" t="s">
        <v>12</v>
      </c>
      <c r="B29" s="1119"/>
      <c r="C29" s="12"/>
      <c r="D29" s="1118">
        <f>SUM(D9:D28)</f>
        <v>9983204</v>
      </c>
      <c r="E29" s="12"/>
    </row>
  </sheetData>
  <mergeCells count="1">
    <mergeCell ref="A5:E5"/>
  </mergeCells>
  <printOptions horizontalCentered="1" verticalCentered="1"/>
  <pageMargins left="0" right="0" top="0" bottom="0" header="0.35433070866141703" footer="0.31496062992126"/>
  <pageSetup paperSize="9" scale="9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4"/>
  <sheetViews>
    <sheetView view="pageBreakPreview" zoomScaleNormal="150" zoomScaleSheetLayoutView="100" workbookViewId="0">
      <selection activeCell="A39" sqref="A39:C39"/>
    </sheetView>
  </sheetViews>
  <sheetFormatPr defaultColWidth="9" defaultRowHeight="12.75"/>
  <cols>
    <col min="1" max="1" width="77.42578125" style="380" customWidth="1"/>
    <col min="2" max="2" width="18.42578125" customWidth="1"/>
    <col min="3" max="3" width="17.42578125" customWidth="1"/>
    <col min="4" max="4" width="14.85546875" customWidth="1"/>
    <col min="5" max="5" width="13" customWidth="1"/>
    <col min="6" max="6" width="12.7109375" customWidth="1"/>
  </cols>
  <sheetData>
    <row r="1" spans="1:4" ht="15.75">
      <c r="A1" s="1322" t="s">
        <v>1910</v>
      </c>
      <c r="B1" s="1323"/>
      <c r="C1" s="1323"/>
      <c r="D1" s="1323"/>
    </row>
    <row r="2" spans="1:4" ht="15.75">
      <c r="A2" s="1322" t="s">
        <v>43</v>
      </c>
      <c r="B2" s="1322"/>
      <c r="C2" s="1322"/>
      <c r="D2" s="1322"/>
    </row>
    <row r="3" spans="1:4" s="380" customFormat="1" ht="17.25" customHeight="1">
      <c r="A3" s="382"/>
      <c r="B3" s="382"/>
      <c r="C3" s="587" t="s">
        <v>68</v>
      </c>
      <c r="D3" s="382"/>
    </row>
    <row r="4" spans="1:4" s="380" customFormat="1" ht="27.75" customHeight="1">
      <c r="A4" s="991" t="s">
        <v>112</v>
      </c>
      <c r="B4" s="992" t="s">
        <v>113</v>
      </c>
      <c r="C4" s="993" t="s">
        <v>114</v>
      </c>
      <c r="D4" s="356"/>
    </row>
    <row r="5" spans="1:4" ht="15.95" customHeight="1">
      <c r="A5" s="994" t="s">
        <v>115</v>
      </c>
      <c r="B5" s="995"/>
      <c r="C5" s="996"/>
      <c r="D5" s="570"/>
    </row>
    <row r="6" spans="1:4" ht="15.95" customHeight="1">
      <c r="A6" s="997" t="s">
        <v>116</v>
      </c>
      <c r="B6" s="998"/>
      <c r="C6" s="996"/>
      <c r="D6" s="570"/>
    </row>
    <row r="7" spans="1:4" ht="15.95" customHeight="1">
      <c r="A7" s="999" t="s">
        <v>117</v>
      </c>
      <c r="B7" s="1000">
        <v>0</v>
      </c>
      <c r="C7" s="1000">
        <v>5368</v>
      </c>
      <c r="D7" s="570"/>
    </row>
    <row r="8" spans="1:4" ht="15.95" customHeight="1">
      <c r="A8" s="999" t="s">
        <v>118</v>
      </c>
      <c r="C8" s="1000">
        <v>4000352</v>
      </c>
      <c r="D8" s="570"/>
    </row>
    <row r="9" spans="1:4" ht="15.95" customHeight="1">
      <c r="A9" s="997" t="s">
        <v>119</v>
      </c>
      <c r="B9" s="1000">
        <v>0</v>
      </c>
      <c r="C9" s="1000">
        <v>0</v>
      </c>
      <c r="D9" s="570"/>
    </row>
    <row r="10" spans="1:4" ht="15.95" customHeight="1">
      <c r="A10" s="997" t="s">
        <v>120</v>
      </c>
      <c r="B10" s="1000">
        <v>0</v>
      </c>
      <c r="C10" s="1000">
        <v>0</v>
      </c>
      <c r="D10" s="570"/>
    </row>
    <row r="11" spans="1:4" ht="15.95" customHeight="1">
      <c r="A11" s="997" t="s">
        <v>121</v>
      </c>
      <c r="B11" s="1000">
        <v>0</v>
      </c>
      <c r="C11" s="1000">
        <v>0</v>
      </c>
      <c r="D11" s="570"/>
    </row>
    <row r="12" spans="1:4" ht="15.95" customHeight="1">
      <c r="A12" s="997" t="s">
        <v>122</v>
      </c>
      <c r="B12" s="1000">
        <f>'(51) Annex. G'!I38</f>
        <v>1070086</v>
      </c>
      <c r="C12" s="1000">
        <v>1101224</v>
      </c>
      <c r="D12" s="570"/>
    </row>
    <row r="13" spans="1:4" ht="15.95" customHeight="1">
      <c r="A13" s="997" t="s">
        <v>123</v>
      </c>
      <c r="B13" s="1000"/>
      <c r="C13" s="931"/>
      <c r="D13" s="570"/>
    </row>
    <row r="14" spans="1:4" ht="15.95" customHeight="1">
      <c r="A14" s="999" t="s">
        <v>124</v>
      </c>
      <c r="B14" s="1000">
        <f>'(51) Annex. G'!I40</f>
        <v>2758272</v>
      </c>
      <c r="C14" s="1000">
        <v>2186010</v>
      </c>
      <c r="D14" s="570"/>
    </row>
    <row r="15" spans="1:4" ht="15.95" customHeight="1">
      <c r="A15" s="999" t="s">
        <v>125</v>
      </c>
      <c r="B15" s="1000">
        <v>0</v>
      </c>
      <c r="C15" s="1000">
        <v>0</v>
      </c>
      <c r="D15" s="570"/>
    </row>
    <row r="16" spans="1:4" ht="15.95" customHeight="1">
      <c r="A16" s="997" t="s">
        <v>126</v>
      </c>
      <c r="B16" s="1000"/>
      <c r="C16" s="931"/>
      <c r="D16" s="570"/>
    </row>
    <row r="17" spans="1:6" ht="15.95" customHeight="1">
      <c r="A17" s="997" t="s">
        <v>127</v>
      </c>
      <c r="B17" s="1000">
        <f>'(34) Sch16'!B25+'(34) Sch16'!D26</f>
        <v>25937099</v>
      </c>
      <c r="C17" s="1000">
        <v>24639706</v>
      </c>
      <c r="D17" s="570">
        <f>SUM(D9:D16)</f>
        <v>0</v>
      </c>
    </row>
    <row r="18" spans="1:6" ht="15.95" customHeight="1">
      <c r="A18" s="997" t="s">
        <v>128</v>
      </c>
      <c r="B18" s="1000">
        <f>'Annx to Sch.18'!I8+'Annx to Sch.18'!I19</f>
        <v>3314097</v>
      </c>
      <c r="C18" s="1000">
        <v>0</v>
      </c>
      <c r="D18" s="570"/>
      <c r="E18" s="406"/>
    </row>
    <row r="19" spans="1:6" ht="15.95" customHeight="1">
      <c r="A19" s="997" t="s">
        <v>129</v>
      </c>
      <c r="B19" s="1000">
        <v>56638535</v>
      </c>
      <c r="C19" s="1000">
        <v>34070421</v>
      </c>
      <c r="D19" s="570"/>
    </row>
    <row r="20" spans="1:6" ht="15.95" customHeight="1">
      <c r="A20" s="997" t="s">
        <v>130</v>
      </c>
      <c r="B20" s="1000">
        <v>0</v>
      </c>
      <c r="C20" s="1000">
        <v>0</v>
      </c>
      <c r="D20" s="570"/>
      <c r="E20" s="406"/>
    </row>
    <row r="21" spans="1:6" ht="15.95" customHeight="1">
      <c r="A21" s="997" t="s">
        <v>131</v>
      </c>
      <c r="B21" s="1000">
        <v>0</v>
      </c>
      <c r="C21" s="1000">
        <v>0</v>
      </c>
      <c r="D21" s="570"/>
    </row>
    <row r="22" spans="1:6" ht="15.95" customHeight="1">
      <c r="A22" s="997" t="s">
        <v>132</v>
      </c>
      <c r="B22" s="1000">
        <f>C22-2119986+1785000</f>
        <v>9772341</v>
      </c>
      <c r="C22" s="1000">
        <v>10107327</v>
      </c>
      <c r="D22" s="353"/>
      <c r="E22" s="406"/>
    </row>
    <row r="23" spans="1:6" ht="15.95" customHeight="1">
      <c r="A23" s="997" t="s">
        <v>133</v>
      </c>
      <c r="B23" s="1000"/>
      <c r="C23" s="931"/>
      <c r="D23" s="570"/>
    </row>
    <row r="24" spans="1:6" ht="15.95" customHeight="1">
      <c r="A24" s="1001" t="s">
        <v>134</v>
      </c>
      <c r="B24" s="1000">
        <f>'(51) Annex. G'!I16</f>
        <v>2556159</v>
      </c>
      <c r="C24" s="1000">
        <v>646564</v>
      </c>
      <c r="D24" s="1002"/>
      <c r="E24" s="1375"/>
      <c r="F24" s="1376"/>
    </row>
    <row r="25" spans="1:6" ht="15.95" customHeight="1">
      <c r="A25" s="1003" t="s">
        <v>135</v>
      </c>
      <c r="B25" s="1000">
        <v>0</v>
      </c>
      <c r="C25" s="1000">
        <v>0</v>
      </c>
      <c r="D25" s="1002"/>
      <c r="E25" s="1375"/>
      <c r="F25" s="1376"/>
    </row>
    <row r="26" spans="1:6" ht="23.25" customHeight="1">
      <c r="A26" s="997" t="s">
        <v>136</v>
      </c>
      <c r="B26" s="1000">
        <f>'(51) Annex. G'!I24</f>
        <v>15589429</v>
      </c>
      <c r="C26" s="1000">
        <v>14390747</v>
      </c>
      <c r="D26" s="1004"/>
      <c r="E26" s="1372"/>
      <c r="F26" s="1373"/>
    </row>
    <row r="27" spans="1:6" ht="15.95" customHeight="1">
      <c r="A27" s="997" t="s">
        <v>137</v>
      </c>
      <c r="B27" s="1000">
        <v>0</v>
      </c>
      <c r="C27" s="1000">
        <v>0</v>
      </c>
      <c r="D27" s="570"/>
    </row>
    <row r="28" spans="1:6" ht="15.95" customHeight="1">
      <c r="A28" s="994" t="s">
        <v>32</v>
      </c>
      <c r="B28" s="1005">
        <f>SUM(B7:B27)</f>
        <v>117636018</v>
      </c>
      <c r="C28" s="1005">
        <f>SUM(C7:C27)</f>
        <v>91147719</v>
      </c>
      <c r="D28" s="352"/>
      <c r="E28" s="406"/>
    </row>
    <row r="29" spans="1:6" ht="15.95" customHeight="1">
      <c r="A29" s="994" t="s">
        <v>138</v>
      </c>
      <c r="B29" s="1000"/>
      <c r="C29" s="1000"/>
      <c r="D29" s="570"/>
    </row>
    <row r="30" spans="1:6" ht="15.95" customHeight="1">
      <c r="A30" s="1006" t="s">
        <v>139</v>
      </c>
      <c r="B30" s="1000">
        <v>0</v>
      </c>
      <c r="C30" s="1000">
        <v>0</v>
      </c>
      <c r="D30" s="570"/>
      <c r="E30" s="406"/>
      <c r="F30" s="406"/>
    </row>
    <row r="31" spans="1:6" ht="13.5" customHeight="1">
      <c r="A31" s="1006" t="s">
        <v>140</v>
      </c>
      <c r="B31" s="1000">
        <v>0</v>
      </c>
      <c r="C31" s="1000">
        <v>0</v>
      </c>
      <c r="D31" s="570"/>
    </row>
    <row r="32" spans="1:6" ht="13.5" customHeight="1">
      <c r="A32" s="1006" t="s">
        <v>141</v>
      </c>
      <c r="B32" s="1000">
        <v>0</v>
      </c>
      <c r="C32" s="1000">
        <v>0</v>
      </c>
      <c r="D32" s="570"/>
    </row>
    <row r="33" spans="1:5" ht="13.5" customHeight="1">
      <c r="A33" s="1006" t="s">
        <v>142</v>
      </c>
      <c r="B33" s="1000">
        <v>0</v>
      </c>
      <c r="C33" s="1007">
        <v>0</v>
      </c>
      <c r="D33" s="570"/>
    </row>
    <row r="34" spans="1:5" ht="13.5" customHeight="1">
      <c r="A34" s="1006" t="s">
        <v>143</v>
      </c>
      <c r="B34" s="1000">
        <v>0</v>
      </c>
      <c r="C34" s="1007">
        <v>0</v>
      </c>
      <c r="D34" s="570"/>
    </row>
    <row r="35" spans="1:5" ht="15.95" customHeight="1">
      <c r="A35" s="994" t="s">
        <v>144</v>
      </c>
      <c r="B35" s="1005">
        <f>SUM(B30:B34)</f>
        <v>0</v>
      </c>
      <c r="C35" s="1005">
        <v>0</v>
      </c>
      <c r="D35" s="570"/>
    </row>
    <row r="36" spans="1:5" s="380" customFormat="1" ht="15.95" customHeight="1">
      <c r="A36" s="1008" t="s">
        <v>145</v>
      </c>
      <c r="B36" s="1009">
        <f>+B28+B35</f>
        <v>117636018</v>
      </c>
      <c r="C36" s="1009">
        <f>+C28+C35</f>
        <v>91147719</v>
      </c>
      <c r="D36" s="356"/>
      <c r="E36" s="405"/>
    </row>
    <row r="37" spans="1:5" s="380" customFormat="1">
      <c r="A37" s="356"/>
      <c r="B37" s="1010"/>
      <c r="C37" s="1011"/>
      <c r="D37" s="356"/>
    </row>
    <row r="38" spans="1:5" s="380" customFormat="1">
      <c r="A38" s="356"/>
      <c r="B38" s="354"/>
      <c r="C38" s="1011"/>
      <c r="D38" s="356"/>
    </row>
    <row r="39" spans="1:5">
      <c r="A39" s="1374" t="s">
        <v>20</v>
      </c>
      <c r="B39" s="1374"/>
      <c r="C39" s="1374"/>
      <c r="D39" s="570"/>
    </row>
    <row r="40" spans="1:5">
      <c r="A40" s="356"/>
      <c r="B40" s="356"/>
      <c r="C40" s="1011"/>
      <c r="D40" s="570"/>
    </row>
    <row r="41" spans="1:5">
      <c r="B41" s="1012"/>
      <c r="C41" s="1012"/>
    </row>
    <row r="43" spans="1:5">
      <c r="B43" s="247"/>
    </row>
    <row r="44" spans="1:5">
      <c r="B44" s="1013"/>
      <c r="C44" s="641"/>
      <c r="D44" s="641"/>
    </row>
    <row r="54" spans="2:2">
      <c r="B54" s="380"/>
    </row>
  </sheetData>
  <customSheetViews>
    <customSheetView guid="{B1076A3F-74CA-4685-9B64-0249438E4A9A}" scale="115" showPageBreaks="1" printArea="1" view="pageBreakPreview" topLeftCell="A34">
      <selection activeCell="C40" sqref="C40"/>
      <pageMargins left="0" right="0" top="0" bottom="0" header="0.31496062992126" footer="0.31496062992126"/>
      <printOptions horizontalCentered="1" verticalCentered="1"/>
      <pageSetup paperSize="9" scale="89" orientation="landscape"/>
      <headerFooter alignWithMargins="0">
        <oddFooter>&amp;C5</oddFooter>
      </headerFooter>
    </customSheetView>
    <customSheetView guid="{789595AE-36A2-4B02-81C2-3D94932E7381}" scale="115" showPageBreaks="1" printArea="1" view="pageBreakPreview" topLeftCell="A34">
      <selection activeCell="C40" sqref="C40"/>
      <pageMargins left="0" right="0" top="0" bottom="0" header="0.31496062992126" footer="0.31496062992126"/>
      <printOptions horizontalCentered="1" verticalCentered="1"/>
      <pageSetup paperSize="9" scale="89" orientation="landscape"/>
      <headerFooter alignWithMargins="0">
        <oddFooter>&amp;C5</oddFooter>
      </headerFooter>
    </customSheetView>
  </customSheetViews>
  <mergeCells count="5">
    <mergeCell ref="A1:D1"/>
    <mergeCell ref="A2:D2"/>
    <mergeCell ref="E26:F26"/>
    <mergeCell ref="A39:C39"/>
    <mergeCell ref="E24:F25"/>
  </mergeCells>
  <printOptions horizontalCentered="1" verticalCentered="1"/>
  <pageMargins left="0" right="0" top="0" bottom="0" header="0.35433070866141703" footer="0.31496062992126"/>
  <pageSetup paperSize="9" scale="94"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D17"/>
  <sheetViews>
    <sheetView view="pageBreakPreview" zoomScale="115" zoomScaleNormal="100" workbookViewId="0">
      <selection activeCell="C1" sqref="C1"/>
    </sheetView>
  </sheetViews>
  <sheetFormatPr defaultColWidth="9" defaultRowHeight="12.75"/>
  <cols>
    <col min="2" max="2" width="17.140625" customWidth="1"/>
    <col min="3" max="3" width="17.28515625" customWidth="1"/>
    <col min="4" max="4" width="17.42578125" customWidth="1"/>
  </cols>
  <sheetData>
    <row r="1" spans="1:4" ht="18.75">
      <c r="C1" s="71" t="s">
        <v>1910</v>
      </c>
    </row>
    <row r="2" spans="1:4" ht="18.75">
      <c r="C2" s="71" t="s">
        <v>43</v>
      </c>
    </row>
    <row r="5" spans="1:4" ht="30" customHeight="1">
      <c r="A5" s="1680" t="s">
        <v>1517</v>
      </c>
      <c r="B5" s="1680"/>
      <c r="C5" s="1680"/>
      <c r="D5" s="1680"/>
    </row>
    <row r="6" spans="1:4" ht="28.5" customHeight="1">
      <c r="A6" s="12" t="s">
        <v>1518</v>
      </c>
      <c r="B6" s="12"/>
      <c r="C6" s="12"/>
      <c r="D6" s="12"/>
    </row>
    <row r="7" spans="1:4" ht="15">
      <c r="A7" s="12"/>
      <c r="B7" s="12"/>
      <c r="C7" s="12"/>
      <c r="D7" s="12"/>
    </row>
    <row r="8" spans="1:4" ht="15">
      <c r="A8" s="12" t="s">
        <v>581</v>
      </c>
      <c r="B8" s="12" t="s">
        <v>1516</v>
      </c>
      <c r="C8" s="12" t="s">
        <v>1519</v>
      </c>
      <c r="D8" s="12" t="s">
        <v>534</v>
      </c>
    </row>
    <row r="9" spans="1:4" ht="15">
      <c r="A9" s="1113">
        <v>1</v>
      </c>
      <c r="B9" s="1114" t="s">
        <v>1626</v>
      </c>
      <c r="C9" s="1114"/>
      <c r="D9" s="1115">
        <v>590</v>
      </c>
    </row>
    <row r="10" spans="1:4" ht="15">
      <c r="A10" s="1113">
        <v>2</v>
      </c>
      <c r="B10" s="1114" t="s">
        <v>1627</v>
      </c>
      <c r="C10" s="1114"/>
      <c r="D10" s="1115">
        <v>1000</v>
      </c>
    </row>
    <row r="11" spans="1:4" ht="15">
      <c r="A11" s="1113">
        <v>3</v>
      </c>
      <c r="B11" s="1114" t="s">
        <v>1627</v>
      </c>
      <c r="C11" s="1114"/>
      <c r="D11" s="1115">
        <v>190</v>
      </c>
    </row>
    <row r="12" spans="1:4" ht="15">
      <c r="A12" s="1113">
        <v>4</v>
      </c>
      <c r="B12" s="1114" t="s">
        <v>1628</v>
      </c>
      <c r="C12" s="1114"/>
      <c r="D12" s="1115">
        <v>12108</v>
      </c>
    </row>
    <row r="13" spans="1:4" ht="15">
      <c r="A13" s="1113">
        <v>5</v>
      </c>
      <c r="B13" s="1114" t="s">
        <v>1628</v>
      </c>
      <c r="C13" s="1114"/>
      <c r="D13" s="1115">
        <v>2179</v>
      </c>
    </row>
    <row r="14" spans="1:4" ht="15">
      <c r="A14" s="1113">
        <v>6</v>
      </c>
      <c r="B14" s="1114" t="s">
        <v>1628</v>
      </c>
      <c r="C14" s="1114"/>
      <c r="D14" s="1115">
        <v>590</v>
      </c>
    </row>
    <row r="15" spans="1:4" ht="27.75" customHeight="1">
      <c r="A15" s="1113">
        <v>7</v>
      </c>
      <c r="B15" s="1114" t="s">
        <v>1629</v>
      </c>
      <c r="C15" s="1114"/>
      <c r="D15" s="1115">
        <v>590</v>
      </c>
    </row>
    <row r="16" spans="1:4" ht="15">
      <c r="A16" s="1113">
        <v>8</v>
      </c>
      <c r="B16" s="1113"/>
      <c r="C16" s="1114"/>
      <c r="D16" s="1115">
        <v>1.41</v>
      </c>
    </row>
    <row r="17" spans="1:4" ht="15">
      <c r="A17" s="1113" t="s">
        <v>12</v>
      </c>
      <c r="B17" s="1113"/>
      <c r="C17" s="1113"/>
      <c r="D17" s="1116">
        <f>SUM(D9:D16)</f>
        <v>17248.41</v>
      </c>
    </row>
  </sheetData>
  <mergeCells count="1">
    <mergeCell ref="A5:D5"/>
  </mergeCells>
  <printOptions horizontalCentered="1" verticalCentered="1"/>
  <pageMargins left="0" right="0" top="0" bottom="0" header="0.35433070866141703" footer="0.31496062992126"/>
  <pageSetup paperSize="9" scale="9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F15"/>
  <sheetViews>
    <sheetView view="pageBreakPreview" zoomScaleNormal="100" workbookViewId="0">
      <selection activeCell="C1" sqref="C1"/>
    </sheetView>
  </sheetViews>
  <sheetFormatPr defaultColWidth="9" defaultRowHeight="12.75"/>
  <cols>
    <col min="1" max="1" width="11.7109375" customWidth="1"/>
    <col min="2" max="2" width="17" customWidth="1"/>
    <col min="3" max="3" width="25.28515625" customWidth="1"/>
    <col min="4" max="4" width="19.7109375" customWidth="1"/>
  </cols>
  <sheetData>
    <row r="1" spans="1:6" ht="18.75">
      <c r="C1" s="71" t="s">
        <v>1910</v>
      </c>
    </row>
    <row r="2" spans="1:6" ht="18.75">
      <c r="C2" s="71" t="s">
        <v>43</v>
      </c>
    </row>
    <row r="5" spans="1:6" ht="15">
      <c r="A5" s="1681" t="s">
        <v>1520</v>
      </c>
      <c r="B5" s="1681"/>
      <c r="C5" s="1681"/>
      <c r="D5" s="1681"/>
      <c r="E5" s="73"/>
      <c r="F5" s="74"/>
    </row>
    <row r="6" spans="1:6" ht="33" customHeight="1">
      <c r="A6" s="75" t="s">
        <v>1521</v>
      </c>
      <c r="B6" s="12"/>
      <c r="C6" s="12"/>
      <c r="D6" s="12"/>
      <c r="E6" s="17"/>
      <c r="F6" s="17"/>
    </row>
    <row r="7" spans="1:6" ht="15">
      <c r="A7" s="12"/>
      <c r="B7" s="12"/>
      <c r="C7" s="12"/>
      <c r="D7" s="12"/>
      <c r="E7" s="17"/>
      <c r="F7" s="17"/>
    </row>
    <row r="8" spans="1:6" ht="23.25" customHeight="1">
      <c r="A8" s="76" t="s">
        <v>581</v>
      </c>
      <c r="B8" s="76" t="s">
        <v>1516</v>
      </c>
      <c r="C8" s="76" t="s">
        <v>1519</v>
      </c>
      <c r="D8" s="76" t="s">
        <v>534</v>
      </c>
      <c r="E8" s="17"/>
      <c r="F8" s="17"/>
    </row>
    <row r="9" spans="1:6" ht="15">
      <c r="A9" s="12">
        <v>1</v>
      </c>
      <c r="B9" s="1113" t="s">
        <v>1630</v>
      </c>
      <c r="C9" s="12"/>
      <c r="D9" s="12">
        <v>150</v>
      </c>
      <c r="E9" s="17"/>
      <c r="F9" s="17"/>
    </row>
    <row r="10" spans="1:6" ht="15">
      <c r="A10" s="12">
        <v>2</v>
      </c>
      <c r="B10" s="1113" t="s">
        <v>1630</v>
      </c>
      <c r="C10" s="12"/>
      <c r="D10" s="12">
        <v>150</v>
      </c>
      <c r="E10" s="17"/>
      <c r="F10" s="17"/>
    </row>
    <row r="11" spans="1:6" ht="15">
      <c r="A11" s="12">
        <v>3</v>
      </c>
      <c r="B11" s="12"/>
      <c r="C11" s="12"/>
      <c r="D11" s="12">
        <v>458</v>
      </c>
      <c r="E11" s="17"/>
      <c r="F11" s="17"/>
    </row>
    <row r="12" spans="1:6" ht="15">
      <c r="A12" s="12"/>
      <c r="B12" s="12"/>
      <c r="C12" s="12"/>
      <c r="D12" s="12"/>
      <c r="E12" s="17"/>
      <c r="F12" s="17"/>
    </row>
    <row r="13" spans="1:6" ht="15">
      <c r="A13" s="12"/>
      <c r="B13" s="12"/>
      <c r="C13" s="12"/>
      <c r="D13" s="12"/>
      <c r="E13" s="17"/>
      <c r="F13" s="17"/>
    </row>
    <row r="14" spans="1:6" ht="15">
      <c r="A14" s="12"/>
      <c r="B14" s="12"/>
      <c r="C14" s="12"/>
      <c r="D14" s="12"/>
      <c r="E14" s="17"/>
      <c r="F14" s="17"/>
    </row>
    <row r="15" spans="1:6" ht="15">
      <c r="A15" s="12" t="s">
        <v>12</v>
      </c>
      <c r="B15" s="12"/>
      <c r="C15" s="12"/>
      <c r="D15" s="12">
        <f>SUM(D9:D14)</f>
        <v>758</v>
      </c>
      <c r="E15" s="17"/>
      <c r="F15" s="17"/>
    </row>
  </sheetData>
  <mergeCells count="1">
    <mergeCell ref="A5:D5"/>
  </mergeCells>
  <printOptions horizontalCentered="1" verticalCentered="1"/>
  <pageMargins left="0" right="0" top="0" bottom="0" header="0.35433070866141703" footer="0.31496062992126"/>
  <pageSetup paperSize="9" scale="9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H61"/>
  <sheetViews>
    <sheetView view="pageBreakPreview" zoomScale="145" zoomScaleNormal="100" workbookViewId="0">
      <selection activeCell="F13" sqref="F13"/>
    </sheetView>
  </sheetViews>
  <sheetFormatPr defaultColWidth="9" defaultRowHeight="12.75"/>
  <cols>
    <col min="2" max="2" width="9.140625" bestFit="1" customWidth="1"/>
    <col min="3" max="3" width="10.140625" customWidth="1"/>
    <col min="4" max="4" width="11.42578125" customWidth="1"/>
    <col min="5" max="5" width="11.85546875" bestFit="1" customWidth="1"/>
    <col min="7" max="7" width="5.140625" customWidth="1"/>
  </cols>
  <sheetData>
    <row r="1" spans="1:8">
      <c r="A1" s="1318"/>
      <c r="B1" s="1318"/>
      <c r="C1" s="1318"/>
      <c r="D1" s="1319" t="s">
        <v>1910</v>
      </c>
      <c r="E1" s="1318"/>
      <c r="F1" s="1318"/>
      <c r="G1" s="1318"/>
      <c r="H1" s="662"/>
    </row>
    <row r="2" spans="1:8">
      <c r="A2" s="1318"/>
      <c r="B2" s="1318"/>
      <c r="C2" s="1318"/>
      <c r="D2" s="1319" t="s">
        <v>43</v>
      </c>
      <c r="E2" s="1318"/>
      <c r="F2" s="1318"/>
      <c r="G2" s="1318"/>
      <c r="H2" s="662"/>
    </row>
    <row r="3" spans="1:8" ht="10.5" customHeight="1">
      <c r="A3" s="1310"/>
      <c r="B3" s="1310"/>
      <c r="C3" s="1310"/>
      <c r="D3" s="1310"/>
      <c r="E3" s="1310"/>
      <c r="F3" s="1310"/>
      <c r="G3" s="1310"/>
    </row>
    <row r="4" spans="1:8" ht="14.25">
      <c r="A4" s="1682" t="s">
        <v>1522</v>
      </c>
      <c r="B4" s="1682"/>
      <c r="C4" s="1682"/>
      <c r="D4" s="1682"/>
      <c r="E4" s="1682"/>
      <c r="F4" s="1682"/>
      <c r="G4" s="1310"/>
    </row>
    <row r="5" spans="1:8" ht="14.25">
      <c r="A5" s="1683" t="s">
        <v>1523</v>
      </c>
      <c r="B5" s="1683"/>
      <c r="C5" s="1683"/>
      <c r="D5" s="1683"/>
      <c r="E5" s="1683"/>
      <c r="F5" s="1683"/>
      <c r="G5" s="1310"/>
    </row>
    <row r="6" spans="1:8" ht="9.75" customHeight="1">
      <c r="A6" s="1311"/>
      <c r="B6" s="1311"/>
      <c r="C6" s="1311"/>
      <c r="D6" s="1311"/>
      <c r="E6" s="1310"/>
      <c r="F6" s="1310"/>
      <c r="G6" s="1310"/>
    </row>
    <row r="7" spans="1:8" ht="14.25">
      <c r="A7" s="1310"/>
      <c r="B7" s="1312" t="s">
        <v>581</v>
      </c>
      <c r="C7" s="1312" t="s">
        <v>1516</v>
      </c>
      <c r="D7" s="1312" t="s">
        <v>1519</v>
      </c>
      <c r="E7" s="1313" t="s">
        <v>534</v>
      </c>
      <c r="F7" s="1310"/>
      <c r="G7" s="1310"/>
    </row>
    <row r="8" spans="1:8" ht="15">
      <c r="A8" s="1310"/>
      <c r="B8" s="1314">
        <v>1</v>
      </c>
      <c r="C8" s="1314" t="s">
        <v>1631</v>
      </c>
      <c r="D8" s="1314"/>
      <c r="E8" s="1320">
        <v>2565</v>
      </c>
      <c r="F8" s="1310"/>
      <c r="G8" s="1310"/>
    </row>
    <row r="9" spans="1:8" ht="15">
      <c r="A9" s="1310"/>
      <c r="B9" s="1314">
        <v>2</v>
      </c>
      <c r="C9" s="1314" t="s">
        <v>1632</v>
      </c>
      <c r="D9" s="1314"/>
      <c r="E9" s="1320">
        <v>50</v>
      </c>
      <c r="F9" s="1310"/>
      <c r="G9" s="1310"/>
    </row>
    <row r="10" spans="1:8" ht="15">
      <c r="A10" s="1310"/>
      <c r="B10" s="1314">
        <v>3</v>
      </c>
      <c r="C10" s="1314" t="s">
        <v>1633</v>
      </c>
      <c r="D10" s="1314"/>
      <c r="E10" s="1320">
        <v>1500</v>
      </c>
      <c r="F10" s="1310"/>
      <c r="G10" s="1310"/>
    </row>
    <row r="11" spans="1:8" ht="15">
      <c r="A11" s="1310"/>
      <c r="B11" s="1314">
        <v>4</v>
      </c>
      <c r="C11" s="1314" t="s">
        <v>1634</v>
      </c>
      <c r="D11" s="1314"/>
      <c r="E11" s="1320">
        <v>30000</v>
      </c>
      <c r="F11" s="1310"/>
      <c r="G11" s="1310"/>
    </row>
    <row r="12" spans="1:8" ht="15">
      <c r="A12" s="1310"/>
      <c r="B12" s="1314">
        <v>5</v>
      </c>
      <c r="C12" s="1314" t="s">
        <v>1635</v>
      </c>
      <c r="D12" s="1314"/>
      <c r="E12" s="1320">
        <v>5900</v>
      </c>
      <c r="F12" s="1310"/>
      <c r="G12" s="1310"/>
    </row>
    <row r="13" spans="1:8" ht="15">
      <c r="A13" s="1310"/>
      <c r="B13" s="1314">
        <v>6</v>
      </c>
      <c r="C13" s="1314" t="s">
        <v>1636</v>
      </c>
      <c r="D13" s="1314"/>
      <c r="E13" s="1320">
        <v>1800</v>
      </c>
      <c r="F13" s="1310"/>
      <c r="G13" s="1310"/>
    </row>
    <row r="14" spans="1:8" ht="15">
      <c r="A14" s="1310"/>
      <c r="B14" s="1314">
        <v>7</v>
      </c>
      <c r="C14" s="1314" t="s">
        <v>1637</v>
      </c>
      <c r="D14" s="1314"/>
      <c r="E14" s="1320">
        <v>70800</v>
      </c>
      <c r="F14" s="1310"/>
      <c r="G14" s="1310"/>
    </row>
    <row r="15" spans="1:8" ht="15">
      <c r="A15" s="1310"/>
      <c r="B15" s="1314">
        <v>8</v>
      </c>
      <c r="C15" s="1314" t="s">
        <v>1638</v>
      </c>
      <c r="D15" s="1314"/>
      <c r="E15" s="1320">
        <v>100</v>
      </c>
      <c r="F15" s="1310"/>
      <c r="G15" s="1310"/>
    </row>
    <row r="16" spans="1:8" ht="15">
      <c r="A16" s="1310"/>
      <c r="B16" s="1314">
        <v>9</v>
      </c>
      <c r="C16" s="1314" t="s">
        <v>1639</v>
      </c>
      <c r="D16" s="1314"/>
      <c r="E16" s="1320">
        <v>6321</v>
      </c>
      <c r="F16" s="1310"/>
      <c r="G16" s="1310"/>
    </row>
    <row r="17" spans="1:7" ht="15">
      <c r="A17" s="1310"/>
      <c r="B17" s="1314">
        <v>10</v>
      </c>
      <c r="C17" s="1314" t="s">
        <v>1640</v>
      </c>
      <c r="D17" s="1314"/>
      <c r="E17" s="1320">
        <v>35400</v>
      </c>
      <c r="F17" s="1310"/>
      <c r="G17" s="1310"/>
    </row>
    <row r="18" spans="1:7" ht="15">
      <c r="A18" s="1310"/>
      <c r="B18" s="1314">
        <v>11</v>
      </c>
      <c r="C18" s="1314" t="s">
        <v>1641</v>
      </c>
      <c r="D18" s="1314"/>
      <c r="E18" s="1320">
        <v>65</v>
      </c>
      <c r="F18" s="1310"/>
      <c r="G18" s="1310"/>
    </row>
    <row r="19" spans="1:7" ht="15">
      <c r="A19" s="1310"/>
      <c r="B19" s="1314">
        <v>12</v>
      </c>
      <c r="C19" s="1314" t="s">
        <v>1642</v>
      </c>
      <c r="D19" s="1314"/>
      <c r="E19" s="1320">
        <v>20120</v>
      </c>
      <c r="F19" s="1310"/>
      <c r="G19" s="1310"/>
    </row>
    <row r="20" spans="1:7" ht="15">
      <c r="A20" s="1310"/>
      <c r="B20" s="1314">
        <v>13</v>
      </c>
      <c r="C20" s="1314" t="s">
        <v>1643</v>
      </c>
      <c r="D20" s="1314"/>
      <c r="E20" s="1320">
        <v>59000</v>
      </c>
      <c r="F20" s="1310"/>
      <c r="G20" s="1310"/>
    </row>
    <row r="21" spans="1:7" ht="15">
      <c r="A21" s="1310"/>
      <c r="B21" s="1314">
        <v>14</v>
      </c>
      <c r="C21" s="1314" t="s">
        <v>1644</v>
      </c>
      <c r="D21" s="1314"/>
      <c r="E21" s="1320">
        <v>14161</v>
      </c>
      <c r="F21" s="1315"/>
      <c r="G21" s="1310"/>
    </row>
    <row r="22" spans="1:7" ht="15">
      <c r="A22" s="1310"/>
      <c r="B22" s="1314">
        <v>15</v>
      </c>
      <c r="C22" s="1314" t="s">
        <v>1645</v>
      </c>
      <c r="D22" s="1314"/>
      <c r="E22" s="1320">
        <v>45631</v>
      </c>
      <c r="F22" s="1315"/>
      <c r="G22" s="1310"/>
    </row>
    <row r="23" spans="1:7" ht="15">
      <c r="A23" s="1310"/>
      <c r="B23" s="1314">
        <v>16</v>
      </c>
      <c r="C23" s="1314" t="s">
        <v>1646</v>
      </c>
      <c r="D23" s="1314"/>
      <c r="E23" s="1320">
        <v>95</v>
      </c>
      <c r="F23" s="1315"/>
      <c r="G23" s="1310"/>
    </row>
    <row r="24" spans="1:7" ht="15">
      <c r="A24" s="1310"/>
      <c r="B24" s="1314">
        <v>17</v>
      </c>
      <c r="C24" s="1314" t="s">
        <v>1647</v>
      </c>
      <c r="D24" s="1314"/>
      <c r="E24" s="1320">
        <v>65</v>
      </c>
      <c r="F24" s="1315"/>
      <c r="G24" s="1310"/>
    </row>
    <row r="25" spans="1:7" ht="15">
      <c r="A25" s="1310"/>
      <c r="B25" s="1314">
        <v>18</v>
      </c>
      <c r="C25" s="1314" t="s">
        <v>1648</v>
      </c>
      <c r="D25" s="1314"/>
      <c r="E25" s="1320">
        <v>10000</v>
      </c>
      <c r="F25" s="1315"/>
      <c r="G25" s="1310"/>
    </row>
    <row r="26" spans="1:7" ht="15">
      <c r="A26" s="1310"/>
      <c r="B26" s="1314">
        <v>19</v>
      </c>
      <c r="C26" s="1314" t="s">
        <v>1648</v>
      </c>
      <c r="D26" s="1314"/>
      <c r="E26" s="1320">
        <v>2950</v>
      </c>
      <c r="F26" s="1315"/>
      <c r="G26" s="1310"/>
    </row>
    <row r="27" spans="1:7" ht="15">
      <c r="A27" s="1310"/>
      <c r="B27" s="1314">
        <v>20</v>
      </c>
      <c r="C27" s="1314" t="s">
        <v>1649</v>
      </c>
      <c r="D27" s="1314"/>
      <c r="E27" s="1320">
        <v>11800</v>
      </c>
      <c r="F27" s="1315"/>
      <c r="G27" s="1310"/>
    </row>
    <row r="28" spans="1:7" ht="15">
      <c r="A28" s="1310"/>
      <c r="B28" s="1314">
        <v>21</v>
      </c>
      <c r="C28" s="1314" t="s">
        <v>1650</v>
      </c>
      <c r="D28" s="1314"/>
      <c r="E28" s="1320">
        <v>5900</v>
      </c>
      <c r="F28" s="1315"/>
      <c r="G28" s="1310"/>
    </row>
    <row r="29" spans="1:7" ht="15">
      <c r="A29" s="1310"/>
      <c r="B29" s="1314">
        <v>22</v>
      </c>
      <c r="C29" s="1314" t="s">
        <v>1651</v>
      </c>
      <c r="D29" s="1314"/>
      <c r="E29" s="1320">
        <v>53100</v>
      </c>
      <c r="F29" s="1315"/>
      <c r="G29" s="1310"/>
    </row>
    <row r="30" spans="1:7" ht="15">
      <c r="A30" s="1310"/>
      <c r="B30" s="1314">
        <v>23</v>
      </c>
      <c r="C30" s="1314" t="s">
        <v>1652</v>
      </c>
      <c r="D30" s="1314"/>
      <c r="E30" s="1320">
        <v>836742</v>
      </c>
      <c r="F30" s="1315"/>
      <c r="G30" s="1310"/>
    </row>
    <row r="31" spans="1:7" ht="15">
      <c r="A31" s="1310"/>
      <c r="B31" s="1314">
        <v>24</v>
      </c>
      <c r="C31" s="1314" t="s">
        <v>1653</v>
      </c>
      <c r="D31" s="1314"/>
      <c r="E31" s="1320">
        <v>18965</v>
      </c>
      <c r="F31" s="1315"/>
      <c r="G31" s="1310"/>
    </row>
    <row r="32" spans="1:7" ht="15">
      <c r="A32" s="1310"/>
      <c r="B32" s="1314">
        <v>25</v>
      </c>
      <c r="C32" s="1314" t="s">
        <v>1630</v>
      </c>
      <c r="D32" s="1314"/>
      <c r="E32" s="1320">
        <v>271872</v>
      </c>
      <c r="F32" s="1315"/>
      <c r="G32" s="1310"/>
    </row>
    <row r="33" spans="1:7" ht="15">
      <c r="A33" s="1310"/>
      <c r="B33" s="1314">
        <v>26</v>
      </c>
      <c r="C33" s="1314" t="s">
        <v>1654</v>
      </c>
      <c r="D33" s="1314"/>
      <c r="E33" s="1320">
        <v>298.8</v>
      </c>
      <c r="F33" s="1315"/>
      <c r="G33" s="1310"/>
    </row>
    <row r="34" spans="1:7" ht="15">
      <c r="A34" s="1310"/>
      <c r="B34" s="1314">
        <v>27</v>
      </c>
      <c r="C34" s="1314" t="s">
        <v>1655</v>
      </c>
      <c r="D34" s="1314"/>
      <c r="E34" s="1320">
        <v>5900</v>
      </c>
      <c r="F34" s="1310"/>
      <c r="G34" s="1310"/>
    </row>
    <row r="35" spans="1:7" ht="15">
      <c r="A35" s="1310"/>
      <c r="B35" s="1314">
        <v>28</v>
      </c>
      <c r="C35" s="1314" t="s">
        <v>1656</v>
      </c>
      <c r="D35" s="1314"/>
      <c r="E35" s="1320">
        <v>2950</v>
      </c>
      <c r="F35" s="1310"/>
      <c r="G35" s="1310"/>
    </row>
    <row r="36" spans="1:7" ht="15">
      <c r="A36" s="1310"/>
      <c r="B36" s="1314">
        <v>29</v>
      </c>
      <c r="C36" s="1314" t="s">
        <v>1657</v>
      </c>
      <c r="D36" s="1314"/>
      <c r="E36" s="1320">
        <v>4720</v>
      </c>
      <c r="F36" s="1310"/>
      <c r="G36" s="1310"/>
    </row>
    <row r="37" spans="1:7" ht="15">
      <c r="A37" s="1310"/>
      <c r="B37" s="1314">
        <v>30</v>
      </c>
      <c r="C37" s="1314" t="s">
        <v>1658</v>
      </c>
      <c r="D37" s="1314"/>
      <c r="E37" s="1320">
        <v>200</v>
      </c>
      <c r="F37" s="1310"/>
      <c r="G37" s="1310"/>
    </row>
    <row r="38" spans="1:7" ht="15">
      <c r="A38" s="1310"/>
      <c r="B38" s="1314">
        <v>31</v>
      </c>
      <c r="C38" s="1314" t="s">
        <v>1658</v>
      </c>
      <c r="D38" s="1314"/>
      <c r="E38" s="1320">
        <v>2688</v>
      </c>
      <c r="F38" s="1310"/>
      <c r="G38" s="1310"/>
    </row>
    <row r="39" spans="1:7" ht="15">
      <c r="A39" s="1310"/>
      <c r="B39" s="1314">
        <v>32</v>
      </c>
      <c r="C39" s="1314" t="s">
        <v>1659</v>
      </c>
      <c r="D39" s="1314"/>
      <c r="E39" s="1320">
        <v>47200</v>
      </c>
      <c r="F39" s="1310"/>
      <c r="G39" s="1310"/>
    </row>
    <row r="40" spans="1:7" ht="15">
      <c r="A40" s="1310"/>
      <c r="B40" s="1314">
        <v>33</v>
      </c>
      <c r="C40" s="1314" t="s">
        <v>1659</v>
      </c>
      <c r="D40" s="1314"/>
      <c r="E40" s="1320">
        <v>152</v>
      </c>
      <c r="F40" s="1310"/>
      <c r="G40" s="1310"/>
    </row>
    <row r="41" spans="1:7" ht="15">
      <c r="A41" s="1310"/>
      <c r="B41" s="1314">
        <v>34</v>
      </c>
      <c r="C41" s="1314" t="s">
        <v>1660</v>
      </c>
      <c r="D41" s="1314"/>
      <c r="E41" s="1320">
        <v>12213</v>
      </c>
      <c r="F41" s="1310"/>
      <c r="G41" s="1310"/>
    </row>
    <row r="42" spans="1:7" ht="15">
      <c r="A42" s="1310"/>
      <c r="B42" s="1314">
        <v>35</v>
      </c>
      <c r="C42" s="1314" t="s">
        <v>1660</v>
      </c>
      <c r="D42" s="1314"/>
      <c r="E42" s="1320">
        <v>11800</v>
      </c>
      <c r="F42" s="1310"/>
      <c r="G42" s="1310"/>
    </row>
    <row r="43" spans="1:7" ht="15">
      <c r="A43" s="1310"/>
      <c r="B43" s="1314">
        <v>36</v>
      </c>
      <c r="C43" s="1314" t="s">
        <v>1661</v>
      </c>
      <c r="D43" s="1314"/>
      <c r="E43" s="1320">
        <v>4130</v>
      </c>
      <c r="F43" s="1310"/>
      <c r="G43" s="1310"/>
    </row>
    <row r="44" spans="1:7" ht="15">
      <c r="A44" s="1310"/>
      <c r="B44" s="1314">
        <v>37</v>
      </c>
      <c r="C44" s="1314" t="s">
        <v>1662</v>
      </c>
      <c r="D44" s="1314"/>
      <c r="E44" s="1320">
        <v>44250</v>
      </c>
      <c r="F44" s="1310"/>
      <c r="G44" s="1310"/>
    </row>
    <row r="45" spans="1:7" ht="15">
      <c r="A45" s="1310"/>
      <c r="B45" s="1314">
        <v>38</v>
      </c>
      <c r="C45" s="1314" t="s">
        <v>1662</v>
      </c>
      <c r="D45" s="1314"/>
      <c r="E45" s="1320">
        <v>3944</v>
      </c>
      <c r="F45" s="1310"/>
      <c r="G45" s="1310"/>
    </row>
    <row r="46" spans="1:7" ht="15">
      <c r="A46" s="1310"/>
      <c r="B46" s="1314">
        <v>39</v>
      </c>
      <c r="C46" s="1314" t="s">
        <v>1663</v>
      </c>
      <c r="D46" s="1314"/>
      <c r="E46" s="1320">
        <v>17</v>
      </c>
      <c r="F46" s="1310"/>
      <c r="G46" s="1310"/>
    </row>
    <row r="47" spans="1:7" ht="15">
      <c r="A47" s="1310"/>
      <c r="B47" s="1314">
        <v>40</v>
      </c>
      <c r="C47" s="1314" t="s">
        <v>1663</v>
      </c>
      <c r="D47" s="1314"/>
      <c r="E47" s="1320">
        <v>85</v>
      </c>
      <c r="F47" s="1310"/>
      <c r="G47" s="1310"/>
    </row>
    <row r="48" spans="1:7" ht="15">
      <c r="A48" s="1310"/>
      <c r="B48" s="1314">
        <v>41</v>
      </c>
      <c r="C48" s="1314" t="s">
        <v>1663</v>
      </c>
      <c r="D48" s="1314"/>
      <c r="E48" s="1320">
        <v>31270</v>
      </c>
      <c r="F48" s="1310"/>
      <c r="G48" s="1310"/>
    </row>
    <row r="49" spans="1:7" ht="15">
      <c r="A49" s="1310"/>
      <c r="B49" s="1314">
        <v>42</v>
      </c>
      <c r="C49" s="1314" t="s">
        <v>1663</v>
      </c>
      <c r="D49" s="1314"/>
      <c r="E49" s="1320">
        <v>1652</v>
      </c>
      <c r="F49" s="1310"/>
      <c r="G49" s="1310"/>
    </row>
    <row r="50" spans="1:7" ht="15">
      <c r="A50" s="1310"/>
      <c r="B50" s="1314">
        <v>43</v>
      </c>
      <c r="C50" s="1314" t="s">
        <v>1663</v>
      </c>
      <c r="D50" s="1314"/>
      <c r="E50" s="1320">
        <v>18946</v>
      </c>
      <c r="F50" s="1310"/>
      <c r="G50" s="1310"/>
    </row>
    <row r="51" spans="1:7" ht="15">
      <c r="A51" s="1310"/>
      <c r="B51" s="1314">
        <v>44</v>
      </c>
      <c r="C51" s="1314" t="s">
        <v>1663</v>
      </c>
      <c r="D51" s="1314"/>
      <c r="E51" s="1320">
        <v>3377</v>
      </c>
      <c r="F51" s="1310"/>
      <c r="G51" s="1310"/>
    </row>
    <row r="52" spans="1:7" ht="15">
      <c r="A52" s="1310"/>
      <c r="B52" s="1314">
        <v>45</v>
      </c>
      <c r="C52" s="1314" t="s">
        <v>1663</v>
      </c>
      <c r="D52" s="1314"/>
      <c r="E52" s="1320">
        <v>931</v>
      </c>
      <c r="F52" s="1310"/>
      <c r="G52" s="1310"/>
    </row>
    <row r="53" spans="1:7" ht="15">
      <c r="A53" s="1310"/>
      <c r="B53" s="1314">
        <v>46</v>
      </c>
      <c r="C53" s="1314" t="s">
        <v>1664</v>
      </c>
      <c r="D53" s="1314"/>
      <c r="E53" s="1320">
        <v>501</v>
      </c>
      <c r="F53" s="1310"/>
      <c r="G53" s="1310"/>
    </row>
    <row r="54" spans="1:7" ht="15">
      <c r="A54" s="1310"/>
      <c r="B54" s="1314">
        <v>47</v>
      </c>
      <c r="C54" s="1314" t="s">
        <v>1664</v>
      </c>
      <c r="D54" s="1314"/>
      <c r="E54" s="1320">
        <v>90</v>
      </c>
      <c r="F54" s="1310"/>
      <c r="G54" s="1310"/>
    </row>
    <row r="55" spans="1:7" ht="15">
      <c r="A55" s="1310"/>
      <c r="B55" s="1314">
        <v>48</v>
      </c>
      <c r="C55" s="1314" t="s">
        <v>1665</v>
      </c>
      <c r="D55" s="1314"/>
      <c r="E55" s="1320">
        <v>23600</v>
      </c>
      <c r="F55" s="1310"/>
      <c r="G55" s="1310"/>
    </row>
    <row r="56" spans="1:7" ht="15">
      <c r="A56" s="1310"/>
      <c r="B56" s="1314">
        <v>49</v>
      </c>
      <c r="C56" s="1314" t="s">
        <v>1665</v>
      </c>
      <c r="D56" s="1314"/>
      <c r="E56" s="1320">
        <v>113374</v>
      </c>
      <c r="F56" s="1310"/>
      <c r="G56" s="1310"/>
    </row>
    <row r="57" spans="1:7" ht="15">
      <c r="A57" s="1310"/>
      <c r="B57" s="1314">
        <v>50</v>
      </c>
      <c r="C57" s="1316" t="s">
        <v>1666</v>
      </c>
      <c r="D57" s="1316"/>
      <c r="E57" s="1320">
        <v>65680</v>
      </c>
      <c r="F57" s="1310"/>
      <c r="G57" s="1310"/>
    </row>
    <row r="58" spans="1:7" ht="15">
      <c r="A58" s="1310"/>
      <c r="B58" s="1314">
        <v>51</v>
      </c>
      <c r="C58" s="1316" t="s">
        <v>1666</v>
      </c>
      <c r="D58" s="1316"/>
      <c r="E58" s="1320">
        <v>195984</v>
      </c>
      <c r="F58" s="1310"/>
      <c r="G58" s="1310"/>
    </row>
    <row r="59" spans="1:7" ht="14.25">
      <c r="A59" s="1310"/>
      <c r="B59" s="1313"/>
      <c r="C59" s="1313"/>
      <c r="D59" s="1313"/>
      <c r="E59" s="1313"/>
      <c r="F59" s="1310"/>
      <c r="G59" s="1310"/>
    </row>
    <row r="60" spans="1:7" ht="14.25">
      <c r="A60" s="1310"/>
      <c r="B60" s="1313" t="s">
        <v>12</v>
      </c>
      <c r="C60" s="1313"/>
      <c r="D60" s="1313"/>
      <c r="E60" s="1317">
        <f>SUM(E8:E59)</f>
        <v>2100854.7999999998</v>
      </c>
      <c r="F60" s="1310"/>
      <c r="G60" s="1310"/>
    </row>
    <row r="61" spans="1:7">
      <c r="D61">
        <f>SUM(D7:D60)</f>
        <v>0</v>
      </c>
    </row>
  </sheetData>
  <mergeCells count="2">
    <mergeCell ref="A4:F4"/>
    <mergeCell ref="A5:F5"/>
  </mergeCells>
  <printOptions horizontalCentered="1" verticalCentered="1"/>
  <pageMargins left="0" right="0" top="0" bottom="0" header="0.35433070866141703" footer="0.31496062992126"/>
  <pageSetup paperSize="9" scale="90" orientation="portrait"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H71"/>
  <sheetViews>
    <sheetView view="pageBreakPreview" zoomScaleNormal="100" workbookViewId="0">
      <selection activeCell="F40" sqref="F40"/>
    </sheetView>
  </sheetViews>
  <sheetFormatPr defaultColWidth="9.140625" defaultRowHeight="15"/>
  <cols>
    <col min="1" max="1" width="9.140625" style="19"/>
    <col min="2" max="2" width="29.140625" style="19" customWidth="1"/>
    <col min="3" max="3" width="21.7109375" style="19" customWidth="1"/>
    <col min="4" max="4" width="13.7109375" style="19" customWidth="1"/>
    <col min="5" max="5" width="14.28515625" style="19" customWidth="1"/>
    <col min="6" max="6" width="14.42578125" style="19" customWidth="1"/>
    <col min="7" max="7" width="9.140625" style="19"/>
    <col min="8" max="8" width="10" style="19" customWidth="1"/>
    <col min="9" max="16384" width="9.140625" style="19"/>
  </cols>
  <sheetData>
    <row r="1" spans="1:6" ht="18.75">
      <c r="A1" s="1690" t="s">
        <v>1912</v>
      </c>
      <c r="B1" s="1690"/>
      <c r="C1" s="1690"/>
      <c r="D1" s="1690"/>
      <c r="E1" s="1690"/>
      <c r="F1" s="1690"/>
    </row>
    <row r="2" spans="1:6" ht="18.75">
      <c r="A2" s="20"/>
      <c r="B2" s="20"/>
      <c r="C2" s="20"/>
      <c r="D2" s="20"/>
      <c r="E2" s="20"/>
      <c r="F2" s="20"/>
    </row>
    <row r="3" spans="1:6" ht="17.25">
      <c r="B3" s="1691" t="s">
        <v>0</v>
      </c>
      <c r="C3" s="1691"/>
      <c r="D3" s="1691"/>
      <c r="E3" s="1691"/>
      <c r="F3" s="1691"/>
    </row>
    <row r="4" spans="1:6" ht="17.25">
      <c r="B4" s="1691" t="s">
        <v>43</v>
      </c>
      <c r="C4" s="1691"/>
      <c r="D4" s="1691"/>
      <c r="E4" s="1691"/>
      <c r="F4" s="1691"/>
    </row>
    <row r="5" spans="1:6" ht="17.25">
      <c r="B5" s="21"/>
      <c r="C5" s="21"/>
      <c r="D5" s="21"/>
      <c r="E5" s="21"/>
      <c r="F5" s="21"/>
    </row>
    <row r="6" spans="1:6" ht="15.75">
      <c r="A6" s="1692" t="s">
        <v>1524</v>
      </c>
      <c r="B6" s="1692"/>
      <c r="C6" s="1692"/>
      <c r="D6" s="1692"/>
      <c r="E6" s="1692"/>
      <c r="F6" s="1692"/>
    </row>
    <row r="7" spans="1:6" ht="15.75" customHeight="1"/>
    <row r="8" spans="1:6" ht="47.25" customHeight="1">
      <c r="A8" s="57" t="s">
        <v>605</v>
      </c>
      <c r="B8" s="58" t="s">
        <v>5</v>
      </c>
      <c r="C8" s="59" t="s">
        <v>1525</v>
      </c>
      <c r="D8" s="59" t="s">
        <v>1526</v>
      </c>
      <c r="E8" s="59" t="s">
        <v>1527</v>
      </c>
      <c r="F8" s="60" t="s">
        <v>1528</v>
      </c>
    </row>
    <row r="9" spans="1:6" ht="15.75" customHeight="1">
      <c r="A9" s="61" t="s">
        <v>151</v>
      </c>
      <c r="B9" s="1693" t="s">
        <v>1529</v>
      </c>
      <c r="C9" s="1694"/>
      <c r="D9" s="1694"/>
      <c r="E9" s="1694"/>
      <c r="F9" s="1695"/>
    </row>
    <row r="10" spans="1:6">
      <c r="A10" s="33">
        <v>1</v>
      </c>
      <c r="B10" s="34" t="s">
        <v>1530</v>
      </c>
      <c r="C10" s="35">
        <v>338591016</v>
      </c>
      <c r="D10" s="35">
        <f>'(34) Sch16'!B25</f>
        <v>24689863</v>
      </c>
      <c r="E10" s="35">
        <v>23595034</v>
      </c>
      <c r="F10" s="36">
        <f>+C10+D10-E10</f>
        <v>339685845</v>
      </c>
    </row>
    <row r="11" spans="1:6">
      <c r="A11" s="33">
        <v>2</v>
      </c>
      <c r="B11" s="34" t="s">
        <v>592</v>
      </c>
      <c r="C11" s="35">
        <v>0</v>
      </c>
      <c r="D11" s="35">
        <v>56658</v>
      </c>
      <c r="E11" s="35">
        <v>464500</v>
      </c>
      <c r="F11" s="36">
        <f>+C11+D11-E11</f>
        <v>-407842</v>
      </c>
    </row>
    <row r="12" spans="1:6">
      <c r="A12" s="33">
        <v>3</v>
      </c>
      <c r="B12" s="34" t="s">
        <v>1531</v>
      </c>
      <c r="C12" s="35">
        <v>0</v>
      </c>
      <c r="D12" s="35">
        <v>189000</v>
      </c>
      <c r="E12" s="35">
        <v>1246500</v>
      </c>
      <c r="F12" s="36">
        <f>+C12+D12-E12</f>
        <v>-1057500</v>
      </c>
    </row>
    <row r="13" spans="1:6">
      <c r="A13" s="33">
        <v>4</v>
      </c>
      <c r="B13" s="34" t="s">
        <v>1532</v>
      </c>
      <c r="C13" s="62">
        <v>15358984</v>
      </c>
      <c r="D13" s="35">
        <v>1247236</v>
      </c>
      <c r="E13" s="35">
        <f>'(34) Sch16'!D27</f>
        <v>1044672</v>
      </c>
      <c r="F13" s="36">
        <f>+C13+D13-E13</f>
        <v>15561548</v>
      </c>
    </row>
    <row r="14" spans="1:6">
      <c r="A14" s="33">
        <v>5</v>
      </c>
      <c r="B14" s="34" t="s">
        <v>1533</v>
      </c>
      <c r="C14" s="62">
        <v>37324770</v>
      </c>
      <c r="D14" s="35">
        <v>0</v>
      </c>
      <c r="E14" s="35">
        <v>0</v>
      </c>
      <c r="F14" s="36">
        <f>+C14+D14-E14</f>
        <v>37324770</v>
      </c>
    </row>
    <row r="15" spans="1:6">
      <c r="A15" s="33"/>
      <c r="B15" s="37" t="s">
        <v>12</v>
      </c>
      <c r="C15" s="38">
        <f>SUM(C10:C14)</f>
        <v>391274770</v>
      </c>
      <c r="D15" s="38">
        <f>SUM(D10:D14)</f>
        <v>26182757</v>
      </c>
      <c r="E15" s="38">
        <f>SUM(E10:E14)</f>
        <v>26350706</v>
      </c>
      <c r="F15" s="38">
        <f>SUM(F10:F14)</f>
        <v>391106821</v>
      </c>
    </row>
    <row r="16" spans="1:6">
      <c r="A16" s="33"/>
      <c r="B16" s="34"/>
      <c r="C16" s="34"/>
      <c r="D16" s="34"/>
      <c r="E16" s="34"/>
      <c r="F16" s="45"/>
    </row>
    <row r="17" spans="1:6" ht="15" customHeight="1">
      <c r="A17" s="61" t="s">
        <v>595</v>
      </c>
      <c r="B17" s="1684" t="s">
        <v>1534</v>
      </c>
      <c r="C17" s="1685"/>
      <c r="D17" s="1685"/>
      <c r="E17" s="1685"/>
      <c r="F17" s="1686"/>
    </row>
    <row r="18" spans="1:6" ht="15.75">
      <c r="A18" s="33">
        <v>1</v>
      </c>
      <c r="B18" s="34" t="s">
        <v>1535</v>
      </c>
      <c r="C18" s="35">
        <f>'(35) Sch17'!B41</f>
        <v>5423459</v>
      </c>
      <c r="D18" s="63">
        <v>2736570</v>
      </c>
      <c r="E18" s="35">
        <f>4583891+5368</f>
        <v>4589259</v>
      </c>
      <c r="F18" s="36">
        <f>+C18+D18-E18</f>
        <v>3570770</v>
      </c>
    </row>
    <row r="19" spans="1:6" ht="15.75">
      <c r="A19" s="33">
        <f t="shared" ref="A19:A24" si="0">+A18+1</f>
        <v>2</v>
      </c>
      <c r="B19" s="34" t="s">
        <v>1536</v>
      </c>
      <c r="C19" s="35">
        <f>'(35) Sch17'!C41</f>
        <v>254758</v>
      </c>
      <c r="D19" s="63">
        <v>957648</v>
      </c>
      <c r="E19" s="35">
        <v>1133329</v>
      </c>
      <c r="F19" s="36">
        <f t="shared" ref="F19:F26" si="1">+C19+D19-E19</f>
        <v>79077</v>
      </c>
    </row>
    <row r="20" spans="1:6" ht="15.75">
      <c r="A20" s="33">
        <f t="shared" si="0"/>
        <v>3</v>
      </c>
      <c r="B20" s="34" t="s">
        <v>1537</v>
      </c>
      <c r="C20" s="35">
        <v>281312</v>
      </c>
      <c r="D20" s="63">
        <v>107274</v>
      </c>
      <c r="E20" s="35"/>
      <c r="F20" s="36">
        <f t="shared" si="1"/>
        <v>388586</v>
      </c>
    </row>
    <row r="21" spans="1:6" ht="15.75">
      <c r="A21" s="33">
        <f t="shared" si="0"/>
        <v>4</v>
      </c>
      <c r="B21" s="34" t="s">
        <v>1538</v>
      </c>
      <c r="C21" s="35">
        <v>0</v>
      </c>
      <c r="D21" s="63">
        <v>0</v>
      </c>
      <c r="E21" s="35">
        <v>0</v>
      </c>
      <c r="F21" s="36">
        <f t="shared" si="1"/>
        <v>0</v>
      </c>
    </row>
    <row r="22" spans="1:6" ht="15.75">
      <c r="A22" s="33">
        <f t="shared" si="0"/>
        <v>5</v>
      </c>
      <c r="B22" s="34" t="s">
        <v>1539</v>
      </c>
      <c r="C22" s="35">
        <v>0</v>
      </c>
      <c r="D22" s="63">
        <v>0</v>
      </c>
      <c r="E22" s="35">
        <v>0</v>
      </c>
      <c r="F22" s="36">
        <f t="shared" si="1"/>
        <v>0</v>
      </c>
    </row>
    <row r="23" spans="1:6" ht="15.75">
      <c r="A23" s="33">
        <f t="shared" si="0"/>
        <v>6</v>
      </c>
      <c r="B23" s="34" t="s">
        <v>1540</v>
      </c>
      <c r="C23" s="35">
        <v>0</v>
      </c>
      <c r="D23" s="63">
        <v>0</v>
      </c>
      <c r="E23" s="35">
        <v>0</v>
      </c>
      <c r="F23" s="36">
        <f t="shared" si="1"/>
        <v>0</v>
      </c>
    </row>
    <row r="24" spans="1:6" ht="15.75">
      <c r="A24" s="33">
        <f t="shared" si="0"/>
        <v>7</v>
      </c>
      <c r="B24" s="34" t="s">
        <v>1541</v>
      </c>
      <c r="C24" s="35">
        <v>62870</v>
      </c>
      <c r="D24" s="63">
        <v>0</v>
      </c>
      <c r="E24" s="35">
        <v>0</v>
      </c>
      <c r="F24" s="36">
        <f t="shared" si="1"/>
        <v>62870</v>
      </c>
    </row>
    <row r="25" spans="1:6" ht="15.75">
      <c r="A25" s="33">
        <v>8</v>
      </c>
      <c r="B25" s="34" t="s">
        <v>1542</v>
      </c>
      <c r="C25" s="35">
        <v>0</v>
      </c>
      <c r="D25" s="63">
        <v>0</v>
      </c>
      <c r="E25" s="35">
        <v>0</v>
      </c>
      <c r="F25" s="36">
        <f t="shared" si="1"/>
        <v>0</v>
      </c>
    </row>
    <row r="26" spans="1:6" ht="15.75">
      <c r="A26" s="33">
        <v>9</v>
      </c>
      <c r="B26" s="34" t="s">
        <v>1543</v>
      </c>
      <c r="C26" s="35">
        <f>'(35) Sch17'!E41+'(35) Sch17'!F41+'(35) Sch17'!C19</f>
        <v>43236352</v>
      </c>
      <c r="D26" s="63">
        <f>27542494+15000</f>
        <v>27557494</v>
      </c>
      <c r="E26" s="35">
        <v>9796323</v>
      </c>
      <c r="F26" s="36">
        <f t="shared" si="1"/>
        <v>60997523</v>
      </c>
    </row>
    <row r="27" spans="1:6">
      <c r="A27" s="33"/>
      <c r="B27" s="37" t="s">
        <v>12</v>
      </c>
      <c r="C27" s="38">
        <f>SUM(C18:C26)</f>
        <v>49258751</v>
      </c>
      <c r="D27" s="38">
        <f t="shared" ref="D27:F27" si="2">SUM(D18:D26)</f>
        <v>31358986</v>
      </c>
      <c r="E27" s="38">
        <f t="shared" si="2"/>
        <v>15518911</v>
      </c>
      <c r="F27" s="38">
        <f t="shared" si="2"/>
        <v>65098826</v>
      </c>
    </row>
    <row r="28" spans="1:6">
      <c r="A28" s="33"/>
      <c r="B28" s="34"/>
      <c r="C28" s="34"/>
      <c r="D28" s="34"/>
      <c r="E28" s="34"/>
      <c r="F28" s="45"/>
    </row>
    <row r="29" spans="1:6" ht="19.5" customHeight="1">
      <c r="A29" s="61" t="s">
        <v>765</v>
      </c>
      <c r="B29" s="64" t="s">
        <v>1544</v>
      </c>
      <c r="C29" s="65"/>
      <c r="D29" s="65"/>
      <c r="E29" s="65"/>
      <c r="F29" s="66"/>
    </row>
    <row r="30" spans="1:6">
      <c r="A30" s="33">
        <v>1</v>
      </c>
      <c r="B30" s="34" t="s">
        <v>1545</v>
      </c>
      <c r="C30" s="35">
        <v>5661240</v>
      </c>
      <c r="D30" s="35">
        <v>5325</v>
      </c>
      <c r="E30" s="35">
        <v>6453</v>
      </c>
      <c r="F30" s="36">
        <f>+C30+D30-E30</f>
        <v>5660112</v>
      </c>
    </row>
    <row r="31" spans="1:6">
      <c r="A31" s="33">
        <f>+A30+1</f>
        <v>2</v>
      </c>
      <c r="B31" s="34" t="s">
        <v>1546</v>
      </c>
      <c r="C31" s="35">
        <v>8402815</v>
      </c>
      <c r="D31" s="35">
        <f>31992+597000</f>
        <v>628992</v>
      </c>
      <c r="E31" s="35">
        <v>485000</v>
      </c>
      <c r="F31" s="36">
        <f t="shared" ref="F31:F53" si="3">+C31+D31-E31</f>
        <v>8546807</v>
      </c>
    </row>
    <row r="32" spans="1:6">
      <c r="A32" s="33">
        <f t="shared" ref="A32:A52" si="4">+A31+1</f>
        <v>3</v>
      </c>
      <c r="B32" s="34" t="s">
        <v>1547</v>
      </c>
      <c r="C32" s="35">
        <v>840986</v>
      </c>
      <c r="D32" s="35">
        <v>70200</v>
      </c>
      <c r="E32" s="35">
        <v>35000</v>
      </c>
      <c r="F32" s="36">
        <f t="shared" si="3"/>
        <v>876186</v>
      </c>
    </row>
    <row r="33" spans="1:6">
      <c r="A33" s="33">
        <f t="shared" si="4"/>
        <v>4</v>
      </c>
      <c r="B33" s="34" t="s">
        <v>1548</v>
      </c>
      <c r="C33" s="35">
        <v>9924463</v>
      </c>
      <c r="D33" s="35">
        <v>234626</v>
      </c>
      <c r="E33" s="35">
        <v>355216</v>
      </c>
      <c r="F33" s="36">
        <f t="shared" si="3"/>
        <v>9803873</v>
      </c>
    </row>
    <row r="34" spans="1:6">
      <c r="A34" s="33">
        <f t="shared" si="4"/>
        <v>5</v>
      </c>
      <c r="B34" s="34" t="s">
        <v>1549</v>
      </c>
      <c r="C34" s="35">
        <v>1770348</v>
      </c>
      <c r="D34" s="35">
        <v>24000</v>
      </c>
      <c r="E34" s="35">
        <v>0</v>
      </c>
      <c r="F34" s="36">
        <f t="shared" si="3"/>
        <v>1794348</v>
      </c>
    </row>
    <row r="35" spans="1:6">
      <c r="A35" s="33">
        <f t="shared" si="4"/>
        <v>6</v>
      </c>
      <c r="B35" s="34" t="s">
        <v>1550</v>
      </c>
      <c r="C35" s="35">
        <v>61061</v>
      </c>
      <c r="D35" s="35">
        <v>9782</v>
      </c>
      <c r="E35" s="35">
        <f>9791+4090</f>
        <v>13881</v>
      </c>
      <c r="F35" s="36">
        <f t="shared" si="3"/>
        <v>56962</v>
      </c>
    </row>
    <row r="36" spans="1:6">
      <c r="A36" s="33">
        <f t="shared" si="4"/>
        <v>7</v>
      </c>
      <c r="B36" s="34" t="s">
        <v>1551</v>
      </c>
      <c r="C36" s="35">
        <v>63145</v>
      </c>
      <c r="D36" s="35">
        <v>0</v>
      </c>
      <c r="E36" s="35">
        <v>0</v>
      </c>
      <c r="F36" s="36">
        <f t="shared" si="3"/>
        <v>63145</v>
      </c>
    </row>
    <row r="37" spans="1:6">
      <c r="A37" s="33">
        <f t="shared" si="4"/>
        <v>8</v>
      </c>
      <c r="B37" s="34" t="s">
        <v>1552</v>
      </c>
      <c r="C37" s="35">
        <v>394078</v>
      </c>
      <c r="D37" s="35">
        <f>82600+18000</f>
        <v>100600</v>
      </c>
      <c r="E37" s="35">
        <f>82600+198000</f>
        <v>280600</v>
      </c>
      <c r="F37" s="36">
        <f t="shared" si="3"/>
        <v>214078</v>
      </c>
    </row>
    <row r="38" spans="1:6">
      <c r="A38" s="33">
        <f t="shared" si="4"/>
        <v>9</v>
      </c>
      <c r="B38" s="34" t="s">
        <v>1553</v>
      </c>
      <c r="C38" s="35">
        <v>15800631</v>
      </c>
      <c r="D38" s="35">
        <v>7076220</v>
      </c>
      <c r="E38" s="35">
        <f>23000+15377218</f>
        <v>15400218</v>
      </c>
      <c r="F38" s="36">
        <f t="shared" si="3"/>
        <v>7476633</v>
      </c>
    </row>
    <row r="39" spans="1:6">
      <c r="A39" s="33">
        <f t="shared" si="4"/>
        <v>10</v>
      </c>
      <c r="B39" s="34" t="s">
        <v>1554</v>
      </c>
      <c r="C39" s="35">
        <v>1850289</v>
      </c>
      <c r="D39" s="35">
        <f>2505492</f>
        <v>2505492</v>
      </c>
      <c r="E39" s="35">
        <f>17900+587248</f>
        <v>605148</v>
      </c>
      <c r="F39" s="36">
        <f t="shared" si="3"/>
        <v>3750633</v>
      </c>
    </row>
    <row r="40" spans="1:6">
      <c r="A40" s="33">
        <f t="shared" si="4"/>
        <v>11</v>
      </c>
      <c r="B40" s="34" t="s">
        <v>1555</v>
      </c>
      <c r="C40" s="35">
        <v>16150</v>
      </c>
      <c r="D40" s="35">
        <v>0</v>
      </c>
      <c r="E40" s="35">
        <v>0</v>
      </c>
      <c r="F40" s="36">
        <f t="shared" si="3"/>
        <v>16150</v>
      </c>
    </row>
    <row r="41" spans="1:6">
      <c r="A41" s="33">
        <f t="shared" si="4"/>
        <v>12</v>
      </c>
      <c r="B41" s="34" t="s">
        <v>1311</v>
      </c>
      <c r="C41" s="35">
        <v>892193</v>
      </c>
      <c r="D41" s="35">
        <v>0</v>
      </c>
      <c r="E41" s="35">
        <v>0</v>
      </c>
      <c r="F41" s="36">
        <f t="shared" si="3"/>
        <v>892193</v>
      </c>
    </row>
    <row r="42" spans="1:6">
      <c r="A42" s="33">
        <f t="shared" si="4"/>
        <v>13</v>
      </c>
      <c r="B42" s="34" t="s">
        <v>1556</v>
      </c>
      <c r="C42" s="35">
        <v>5436285</v>
      </c>
      <c r="D42" s="35">
        <v>0</v>
      </c>
      <c r="E42" s="35">
        <v>13113</v>
      </c>
      <c r="F42" s="36">
        <f t="shared" si="3"/>
        <v>5423172</v>
      </c>
    </row>
    <row r="43" spans="1:6">
      <c r="A43" s="33">
        <f t="shared" si="4"/>
        <v>14</v>
      </c>
      <c r="B43" s="34" t="s">
        <v>1557</v>
      </c>
      <c r="C43" s="35">
        <v>433681</v>
      </c>
      <c r="D43" s="35">
        <v>0</v>
      </c>
      <c r="E43" s="35">
        <v>0</v>
      </c>
      <c r="F43" s="36">
        <f t="shared" si="3"/>
        <v>433681</v>
      </c>
    </row>
    <row r="44" spans="1:6">
      <c r="A44" s="33">
        <f t="shared" si="4"/>
        <v>15</v>
      </c>
      <c r="B44" s="34" t="s">
        <v>1558</v>
      </c>
      <c r="C44" s="35">
        <v>0</v>
      </c>
      <c r="D44" s="35">
        <v>0</v>
      </c>
      <c r="E44" s="35">
        <v>0</v>
      </c>
      <c r="F44" s="36">
        <f t="shared" si="3"/>
        <v>0</v>
      </c>
    </row>
    <row r="45" spans="1:6">
      <c r="A45" s="33">
        <f t="shared" si="4"/>
        <v>16</v>
      </c>
      <c r="B45" s="34" t="s">
        <v>1559</v>
      </c>
      <c r="C45" s="35">
        <v>894910</v>
      </c>
      <c r="D45" s="35">
        <v>414887</v>
      </c>
      <c r="E45" s="35">
        <v>329500</v>
      </c>
      <c r="F45" s="36">
        <f t="shared" si="3"/>
        <v>980297</v>
      </c>
    </row>
    <row r="46" spans="1:6">
      <c r="A46" s="33">
        <f t="shared" si="4"/>
        <v>17</v>
      </c>
      <c r="B46" s="34" t="s">
        <v>1560</v>
      </c>
      <c r="C46" s="35">
        <v>79700</v>
      </c>
      <c r="D46" s="35">
        <v>0</v>
      </c>
      <c r="E46" s="35">
        <v>0</v>
      </c>
      <c r="F46" s="36">
        <f t="shared" si="3"/>
        <v>79700</v>
      </c>
    </row>
    <row r="47" spans="1:6">
      <c r="A47" s="33">
        <f t="shared" si="4"/>
        <v>18</v>
      </c>
      <c r="B47" s="34" t="s">
        <v>1561</v>
      </c>
      <c r="C47" s="35">
        <f>3500000+147071</f>
        <v>3647071</v>
      </c>
      <c r="D47" s="35">
        <v>148000</v>
      </c>
      <c r="E47" s="35">
        <v>191600</v>
      </c>
      <c r="F47" s="36">
        <f t="shared" si="3"/>
        <v>3603471</v>
      </c>
    </row>
    <row r="48" spans="1:6">
      <c r="A48" s="33">
        <f t="shared" si="4"/>
        <v>19</v>
      </c>
      <c r="B48" s="34" t="s">
        <v>1562</v>
      </c>
      <c r="C48" s="35">
        <v>0</v>
      </c>
      <c r="D48" s="35">
        <v>0</v>
      </c>
      <c r="E48" s="35">
        <v>0</v>
      </c>
      <c r="F48" s="36">
        <f t="shared" si="3"/>
        <v>0</v>
      </c>
    </row>
    <row r="49" spans="1:8">
      <c r="A49" s="33">
        <f t="shared" si="4"/>
        <v>20</v>
      </c>
      <c r="B49" s="34" t="s">
        <v>1563</v>
      </c>
      <c r="C49" s="35">
        <v>226342</v>
      </c>
      <c r="D49" s="35">
        <v>0</v>
      </c>
      <c r="E49" s="35">
        <v>0</v>
      </c>
      <c r="F49" s="36">
        <f t="shared" si="3"/>
        <v>226342</v>
      </c>
    </row>
    <row r="50" spans="1:8">
      <c r="A50" s="33">
        <f t="shared" si="4"/>
        <v>21</v>
      </c>
      <c r="B50" s="34" t="s">
        <v>1564</v>
      </c>
      <c r="C50" s="35">
        <v>0</v>
      </c>
      <c r="D50" s="35">
        <v>0</v>
      </c>
      <c r="E50" s="35">
        <v>0</v>
      </c>
      <c r="F50" s="36">
        <f t="shared" si="3"/>
        <v>0</v>
      </c>
    </row>
    <row r="51" spans="1:8">
      <c r="A51" s="33">
        <f t="shared" si="4"/>
        <v>22</v>
      </c>
      <c r="B51" s="34" t="s">
        <v>1565</v>
      </c>
      <c r="C51" s="35">
        <v>322985</v>
      </c>
      <c r="D51" s="35">
        <v>0</v>
      </c>
      <c r="E51" s="35">
        <v>0</v>
      </c>
      <c r="F51" s="36">
        <f t="shared" si="3"/>
        <v>322985</v>
      </c>
    </row>
    <row r="52" spans="1:8">
      <c r="A52" s="33">
        <f t="shared" si="4"/>
        <v>23</v>
      </c>
      <c r="B52" s="34" t="s">
        <v>1566</v>
      </c>
      <c r="C52" s="35">
        <v>0</v>
      </c>
      <c r="D52" s="35">
        <v>0</v>
      </c>
      <c r="E52" s="35">
        <v>0</v>
      </c>
      <c r="F52" s="36">
        <f t="shared" si="3"/>
        <v>0</v>
      </c>
    </row>
    <row r="53" spans="1:8">
      <c r="A53" s="33">
        <v>24</v>
      </c>
      <c r="B53" s="34" t="s">
        <v>1567</v>
      </c>
      <c r="C53" s="35">
        <f>1554530+20504714+874168</f>
        <v>22933412</v>
      </c>
      <c r="D53" s="35">
        <v>2370271</v>
      </c>
      <c r="E53" s="35">
        <f>2404344+102130+10000</f>
        <v>2516474</v>
      </c>
      <c r="F53" s="36">
        <f t="shared" si="3"/>
        <v>22787209</v>
      </c>
    </row>
    <row r="54" spans="1:8">
      <c r="A54" s="33"/>
      <c r="B54" s="37" t="s">
        <v>12</v>
      </c>
      <c r="C54" s="38">
        <f>SUM(C30:C53)</f>
        <v>79651785</v>
      </c>
      <c r="D54" s="38">
        <f>SUM(D30:D53)</f>
        <v>13588395</v>
      </c>
      <c r="E54" s="38">
        <f>SUM(E30:E53)</f>
        <v>20232203</v>
      </c>
      <c r="F54" s="38">
        <f>SUM(F30:F53)</f>
        <v>73007977</v>
      </c>
      <c r="H54" s="67"/>
    </row>
    <row r="55" spans="1:8">
      <c r="A55" s="33"/>
      <c r="B55" s="34"/>
      <c r="C55" s="34"/>
      <c r="D55" s="34"/>
      <c r="E55" s="34"/>
      <c r="F55" s="45"/>
    </row>
    <row r="56" spans="1:8" ht="15" customHeight="1">
      <c r="A56" s="61" t="s">
        <v>766</v>
      </c>
      <c r="B56" s="1687" t="s">
        <v>1568</v>
      </c>
      <c r="C56" s="1688"/>
      <c r="D56" s="1688"/>
      <c r="E56" s="1688"/>
      <c r="F56" s="1689"/>
    </row>
    <row r="57" spans="1:8">
      <c r="A57" s="33">
        <v>1</v>
      </c>
      <c r="B57" s="68" t="s">
        <v>1569</v>
      </c>
      <c r="C57" s="35">
        <f>'(39) Sch20'!G10</f>
        <v>226800</v>
      </c>
      <c r="D57" s="35">
        <v>0</v>
      </c>
      <c r="E57" s="35">
        <v>0</v>
      </c>
      <c r="F57" s="36">
        <f>+C57+D57-E57</f>
        <v>226800</v>
      </c>
    </row>
    <row r="58" spans="1:8">
      <c r="A58" s="33">
        <v>2</v>
      </c>
      <c r="B58" s="68" t="s">
        <v>1570</v>
      </c>
      <c r="C58" s="35">
        <f>'(39) Sch20'!G12</f>
        <v>208071</v>
      </c>
      <c r="D58" s="35">
        <v>0</v>
      </c>
      <c r="E58" s="35">
        <v>0</v>
      </c>
      <c r="F58" s="36">
        <f>+C58+D58-E58</f>
        <v>208071</v>
      </c>
    </row>
    <row r="59" spans="1:8">
      <c r="A59" s="33">
        <v>3</v>
      </c>
      <c r="B59" s="34" t="s">
        <v>1571</v>
      </c>
      <c r="C59" s="35">
        <f>'(39) Sch20'!G14</f>
        <v>53776</v>
      </c>
      <c r="D59" s="35">
        <v>0</v>
      </c>
      <c r="E59" s="35">
        <v>0</v>
      </c>
      <c r="F59" s="36">
        <f>+C59+D59-E59</f>
        <v>53776</v>
      </c>
    </row>
    <row r="60" spans="1:8">
      <c r="A60" s="33">
        <v>4</v>
      </c>
      <c r="B60" s="34" t="s">
        <v>1035</v>
      </c>
      <c r="C60" s="35">
        <f>'(39) Sch20'!C26+'(39) Sch20'!C20</f>
        <v>4957798</v>
      </c>
      <c r="D60" s="35">
        <v>53000</v>
      </c>
      <c r="E60" s="35"/>
      <c r="F60" s="36">
        <f>+C60+D60-E60</f>
        <v>5010798</v>
      </c>
    </row>
    <row r="61" spans="1:8">
      <c r="A61" s="33"/>
      <c r="B61" s="37" t="s">
        <v>12</v>
      </c>
      <c r="C61" s="38">
        <f>SUM(C57:C60)</f>
        <v>5446445</v>
      </c>
      <c r="D61" s="38">
        <f>SUM(D57:D60)</f>
        <v>53000</v>
      </c>
      <c r="E61" s="38">
        <f>SUM(E57:E60)</f>
        <v>0</v>
      </c>
      <c r="F61" s="38">
        <f>SUM(F57:F60)</f>
        <v>5499445</v>
      </c>
    </row>
    <row r="62" spans="1:8">
      <c r="A62" s="61" t="s">
        <v>1572</v>
      </c>
      <c r="B62" s="1687" t="s">
        <v>1573</v>
      </c>
      <c r="C62" s="1688"/>
      <c r="D62" s="1688"/>
      <c r="E62" s="1688"/>
      <c r="F62" s="1689"/>
    </row>
    <row r="63" spans="1:8">
      <c r="A63" s="33">
        <v>1</v>
      </c>
      <c r="B63" s="34" t="s">
        <v>1574</v>
      </c>
      <c r="C63" s="35">
        <v>0</v>
      </c>
      <c r="D63" s="35">
        <v>0</v>
      </c>
      <c r="E63" s="35">
        <v>0</v>
      </c>
      <c r="F63" s="36">
        <f>+C63+D63-E63</f>
        <v>0</v>
      </c>
    </row>
    <row r="64" spans="1:8">
      <c r="A64" s="69" t="s">
        <v>1575</v>
      </c>
      <c r="B64" s="65"/>
      <c r="C64" s="70">
        <f>C15+C27+C54+C61+C63</f>
        <v>525631751</v>
      </c>
      <c r="D64" s="70">
        <f>D15+D27+D54+D61+D63</f>
        <v>71183138</v>
      </c>
      <c r="E64" s="70">
        <f>E15+E27+E54+E61+E63</f>
        <v>62101820</v>
      </c>
      <c r="F64" s="70">
        <f>F15+F27+F54+F61+F63</f>
        <v>534713069</v>
      </c>
    </row>
    <row r="65" spans="1:6">
      <c r="A65" s="19" t="s">
        <v>1576</v>
      </c>
    </row>
    <row r="66" spans="1:6">
      <c r="A66" s="34"/>
      <c r="B66" s="34" t="s">
        <v>1577</v>
      </c>
      <c r="C66" s="38">
        <v>0</v>
      </c>
      <c r="D66" s="34">
        <v>0</v>
      </c>
      <c r="E66" s="34">
        <v>0</v>
      </c>
      <c r="F66" s="38">
        <f>C66+D66-E66</f>
        <v>0</v>
      </c>
    </row>
    <row r="67" spans="1:6">
      <c r="A67" s="34"/>
      <c r="B67" s="34" t="s">
        <v>1578</v>
      </c>
      <c r="C67" s="38">
        <f>C64+C66</f>
        <v>525631751</v>
      </c>
      <c r="D67" s="38">
        <f>D64+D66</f>
        <v>71183138</v>
      </c>
      <c r="E67" s="38">
        <f>E64+E66</f>
        <v>62101820</v>
      </c>
      <c r="F67" s="38">
        <f>F64+F66</f>
        <v>534713069</v>
      </c>
    </row>
    <row r="68" spans="1:6">
      <c r="C68" s="56"/>
      <c r="D68" s="56"/>
      <c r="E68" s="56"/>
      <c r="F68" s="56"/>
    </row>
    <row r="69" spans="1:6">
      <c r="C69" s="56"/>
      <c r="D69" s="56"/>
      <c r="E69" s="56"/>
      <c r="F69" s="56"/>
    </row>
    <row r="70" spans="1:6">
      <c r="C70" s="56"/>
      <c r="D70" s="56"/>
      <c r="E70" s="56"/>
      <c r="F70" s="56"/>
    </row>
    <row r="71" spans="1:6">
      <c r="A71" s="1548" t="s">
        <v>20</v>
      </c>
      <c r="B71" s="1548"/>
      <c r="C71" s="1548"/>
      <c r="D71" s="1548"/>
      <c r="E71" s="1548"/>
      <c r="F71" s="1548"/>
    </row>
  </sheetData>
  <mergeCells count="9">
    <mergeCell ref="B17:F17"/>
    <mergeCell ref="B56:F56"/>
    <mergeCell ref="B62:F62"/>
    <mergeCell ref="A71:F71"/>
    <mergeCell ref="A1:F1"/>
    <mergeCell ref="B3:F3"/>
    <mergeCell ref="B4:F4"/>
    <mergeCell ref="A6:F6"/>
    <mergeCell ref="B9:F9"/>
  </mergeCells>
  <printOptions horizontalCentered="1" verticalCentered="1"/>
  <pageMargins left="0" right="0" top="0" bottom="0" header="0.35433070866141703" footer="0.31496062992126"/>
  <pageSetup paperSize="9" scale="90" orientation="landscape" r:id="rId1"/>
  <headerFooter alignWithMargins="0"/>
  <rowBreaks count="1" manualBreakCount="1">
    <brk id="28" max="16383" man="1"/>
  </row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H31"/>
  <sheetViews>
    <sheetView view="pageBreakPreview" topLeftCell="A10" zoomScaleNormal="100" workbookViewId="0">
      <selection activeCell="D29" sqref="D29"/>
    </sheetView>
  </sheetViews>
  <sheetFormatPr defaultColWidth="9.140625" defaultRowHeight="15"/>
  <cols>
    <col min="1" max="1" width="9.140625" style="19"/>
    <col min="2" max="2" width="24" style="19" customWidth="1"/>
    <col min="3" max="3" width="21.7109375" style="19" customWidth="1"/>
    <col min="4" max="4" width="18.85546875" style="19" customWidth="1"/>
    <col min="5" max="5" width="19.28515625" style="19" customWidth="1"/>
    <col min="6" max="6" width="17.7109375" style="19" customWidth="1"/>
    <col min="7" max="16384" width="9.140625" style="19"/>
  </cols>
  <sheetData>
    <row r="1" spans="1:8" ht="18.75">
      <c r="A1" s="1690" t="s">
        <v>1913</v>
      </c>
      <c r="B1" s="1690"/>
      <c r="C1" s="1690"/>
      <c r="D1" s="1690"/>
      <c r="E1" s="1690"/>
      <c r="F1" s="1690"/>
    </row>
    <row r="2" spans="1:8" ht="17.25">
      <c r="B2" s="1691" t="s">
        <v>0</v>
      </c>
      <c r="C2" s="1691"/>
      <c r="D2" s="1691"/>
      <c r="E2" s="1691"/>
      <c r="F2" s="1691"/>
      <c r="G2" s="22"/>
      <c r="H2" s="22"/>
    </row>
    <row r="3" spans="1:8" ht="25.5" customHeight="1">
      <c r="B3" s="1691" t="s">
        <v>43</v>
      </c>
      <c r="C3" s="1691"/>
      <c r="D3" s="1691"/>
      <c r="E3" s="1691"/>
      <c r="F3" s="1691"/>
    </row>
    <row r="4" spans="1:8" ht="15.75">
      <c r="A4" s="23" t="s">
        <v>1579</v>
      </c>
      <c r="C4" s="24"/>
      <c r="D4" s="24"/>
      <c r="E4" s="24"/>
      <c r="F4" s="24"/>
    </row>
    <row r="5" spans="1:8" ht="29.25" customHeight="1"/>
    <row r="6" spans="1:8" ht="45">
      <c r="A6" s="25" t="s">
        <v>605</v>
      </c>
      <c r="B6" s="26" t="s">
        <v>5</v>
      </c>
      <c r="C6" s="27" t="s">
        <v>1580</v>
      </c>
      <c r="D6" s="27" t="s">
        <v>1581</v>
      </c>
      <c r="E6" s="27" t="s">
        <v>1582</v>
      </c>
      <c r="F6" s="28" t="s">
        <v>1528</v>
      </c>
    </row>
    <row r="7" spans="1:8" ht="18" customHeight="1">
      <c r="A7" s="29" t="s">
        <v>151</v>
      </c>
      <c r="B7" s="30" t="s">
        <v>1583</v>
      </c>
      <c r="C7" s="31"/>
      <c r="D7" s="31"/>
      <c r="E7" s="31"/>
      <c r="F7" s="32"/>
    </row>
    <row r="8" spans="1:8">
      <c r="A8" s="33">
        <v>1</v>
      </c>
      <c r="B8" s="34" t="s">
        <v>1239</v>
      </c>
      <c r="C8" s="35">
        <v>4995</v>
      </c>
      <c r="D8" s="35">
        <v>0</v>
      </c>
      <c r="E8" s="35">
        <v>0</v>
      </c>
      <c r="F8" s="36">
        <f>C8+D8-E8</f>
        <v>4995</v>
      </c>
    </row>
    <row r="9" spans="1:8">
      <c r="A9" s="33">
        <v>2</v>
      </c>
      <c r="B9" s="34" t="s">
        <v>1584</v>
      </c>
      <c r="C9" s="35">
        <v>6400</v>
      </c>
      <c r="D9" s="35">
        <v>0</v>
      </c>
      <c r="E9" s="35">
        <v>0</v>
      </c>
      <c r="F9" s="36">
        <f>C9+D9-E9</f>
        <v>6400</v>
      </c>
    </row>
    <row r="10" spans="1:8">
      <c r="A10" s="33">
        <v>3</v>
      </c>
      <c r="B10" s="34" t="s">
        <v>1248</v>
      </c>
      <c r="C10" s="35">
        <v>0</v>
      </c>
      <c r="D10" s="35">
        <v>0</v>
      </c>
      <c r="E10" s="35">
        <v>0</v>
      </c>
      <c r="F10" s="36">
        <f t="shared" ref="F10:F12" si="0">C10+D10-E10</f>
        <v>0</v>
      </c>
    </row>
    <row r="11" spans="1:8">
      <c r="A11" s="33">
        <v>4</v>
      </c>
      <c r="B11" s="34" t="s">
        <v>1585</v>
      </c>
      <c r="C11" s="35">
        <f>4983093+2601810+169680</f>
        <v>7754583</v>
      </c>
      <c r="D11" s="35"/>
      <c r="E11" s="35"/>
      <c r="F11" s="36">
        <f t="shared" si="0"/>
        <v>7754583</v>
      </c>
    </row>
    <row r="12" spans="1:8">
      <c r="A12" s="33"/>
      <c r="B12" s="37" t="s">
        <v>12</v>
      </c>
      <c r="C12" s="38">
        <f>SUM(C8:C11)</f>
        <v>7765978</v>
      </c>
      <c r="D12" s="38">
        <f>SUM(D8:D10)</f>
        <v>0</v>
      </c>
      <c r="E12" s="38">
        <f>SUM(E8:E10)</f>
        <v>0</v>
      </c>
      <c r="F12" s="36">
        <f t="shared" si="0"/>
        <v>7765978</v>
      </c>
    </row>
    <row r="13" spans="1:8">
      <c r="A13" s="29" t="s">
        <v>595</v>
      </c>
      <c r="B13" s="40" t="s">
        <v>1586</v>
      </c>
      <c r="C13" s="41"/>
      <c r="D13" s="41"/>
      <c r="E13" s="41"/>
      <c r="F13" s="42"/>
    </row>
    <row r="14" spans="1:8">
      <c r="A14" s="33">
        <v>1</v>
      </c>
      <c r="B14" s="43" t="s">
        <v>1587</v>
      </c>
      <c r="C14" s="35">
        <v>0</v>
      </c>
      <c r="D14" s="35"/>
      <c r="E14" s="35"/>
      <c r="F14" s="44">
        <f>C14+D14-E14</f>
        <v>0</v>
      </c>
    </row>
    <row r="15" spans="1:8">
      <c r="A15" s="33"/>
      <c r="B15" s="40" t="s">
        <v>12</v>
      </c>
      <c r="C15" s="38">
        <f>SUM(C14)</f>
        <v>0</v>
      </c>
      <c r="D15" s="38">
        <f>SUM(D14)</f>
        <v>0</v>
      </c>
      <c r="E15" s="38">
        <f>SUM(E14)</f>
        <v>0</v>
      </c>
      <c r="F15" s="39">
        <f>SUM(F14)</f>
        <v>0</v>
      </c>
    </row>
    <row r="16" spans="1:8" ht="18" customHeight="1">
      <c r="A16" s="29" t="s">
        <v>765</v>
      </c>
      <c r="B16" s="1696" t="s">
        <v>1588</v>
      </c>
      <c r="C16" s="1697"/>
      <c r="D16" s="1697"/>
      <c r="E16" s="1697"/>
      <c r="F16" s="1698"/>
    </row>
    <row r="17" spans="1:6">
      <c r="A17" s="33">
        <v>1</v>
      </c>
      <c r="B17" s="34" t="s">
        <v>1589</v>
      </c>
      <c r="C17" s="35">
        <v>333119</v>
      </c>
      <c r="D17" s="35">
        <v>860075</v>
      </c>
      <c r="E17" s="35">
        <v>333119</v>
      </c>
      <c r="F17" s="36">
        <f>+C17+D17-E17</f>
        <v>860075</v>
      </c>
    </row>
    <row r="18" spans="1:6">
      <c r="A18" s="33">
        <v>2</v>
      </c>
      <c r="B18" s="34" t="s">
        <v>1590</v>
      </c>
      <c r="C18" s="35">
        <v>210309</v>
      </c>
      <c r="D18" s="35">
        <v>898458</v>
      </c>
      <c r="E18" s="35">
        <v>56455</v>
      </c>
      <c r="F18" s="36">
        <f>+C18+D18-E18</f>
        <v>1052312</v>
      </c>
    </row>
    <row r="19" spans="1:6">
      <c r="A19" s="33"/>
      <c r="B19" s="37" t="s">
        <v>12</v>
      </c>
      <c r="C19" s="38">
        <f>SUM(C17:C18)</f>
        <v>543428</v>
      </c>
      <c r="D19" s="38">
        <f>SUM(D17:D18)</f>
        <v>1758533</v>
      </c>
      <c r="E19" s="38">
        <f>SUM(E17:E18)</f>
        <v>389574</v>
      </c>
      <c r="F19" s="39">
        <f>SUM(F17:F18)</f>
        <v>1912387</v>
      </c>
    </row>
    <row r="20" spans="1:6">
      <c r="A20" s="33"/>
      <c r="B20" s="34"/>
      <c r="C20" s="34"/>
      <c r="D20" s="34"/>
      <c r="E20" s="34"/>
      <c r="F20" s="45"/>
    </row>
    <row r="21" spans="1:6" ht="15" customHeight="1">
      <c r="A21" s="29" t="s">
        <v>766</v>
      </c>
      <c r="B21" s="1699" t="s">
        <v>1591</v>
      </c>
      <c r="C21" s="1700"/>
      <c r="D21" s="1700"/>
      <c r="E21" s="1700"/>
      <c r="F21" s="1701"/>
    </row>
    <row r="22" spans="1:6">
      <c r="A22" s="33">
        <v>1</v>
      </c>
      <c r="B22" s="34" t="s">
        <v>1252</v>
      </c>
      <c r="C22" s="35">
        <f>1063752+704033</f>
        <v>1767785</v>
      </c>
      <c r="D22" s="35">
        <v>0</v>
      </c>
      <c r="E22" s="35">
        <v>0</v>
      </c>
      <c r="F22" s="36">
        <f>C22+D22-E22</f>
        <v>1767785</v>
      </c>
    </row>
    <row r="23" spans="1:6">
      <c r="A23" s="33">
        <v>2</v>
      </c>
      <c r="B23" s="34" t="s">
        <v>1592</v>
      </c>
      <c r="C23" s="35">
        <v>-1609</v>
      </c>
      <c r="D23" s="35">
        <v>0</v>
      </c>
      <c r="E23" s="35">
        <v>0</v>
      </c>
      <c r="F23" s="36">
        <f>C23+D23-E23</f>
        <v>-1609</v>
      </c>
    </row>
    <row r="24" spans="1:6">
      <c r="A24" s="33">
        <v>3</v>
      </c>
      <c r="B24" s="34" t="s">
        <v>1258</v>
      </c>
      <c r="C24" s="35"/>
      <c r="D24" s="35">
        <v>0</v>
      </c>
      <c r="E24" s="35">
        <v>0</v>
      </c>
      <c r="F24" s="36">
        <f>C24+D24-E24</f>
        <v>0</v>
      </c>
    </row>
    <row r="25" spans="1:6">
      <c r="A25" s="33">
        <v>4</v>
      </c>
      <c r="B25" s="34" t="s">
        <v>1593</v>
      </c>
      <c r="C25" s="35">
        <f>1125000+2557672</f>
        <v>3682672</v>
      </c>
      <c r="D25" s="35">
        <v>0</v>
      </c>
      <c r="E25" s="35">
        <v>0</v>
      </c>
      <c r="F25" s="36">
        <f>C25+D25-E25</f>
        <v>3682672</v>
      </c>
    </row>
    <row r="26" spans="1:6">
      <c r="A26" s="46"/>
      <c r="B26" s="47" t="s">
        <v>12</v>
      </c>
      <c r="C26" s="48">
        <f>SUM(C22:C25)</f>
        <v>5448848</v>
      </c>
      <c r="D26" s="48">
        <f>SUM(D22:D25)</f>
        <v>0</v>
      </c>
      <c r="E26" s="48">
        <f>SUM(E22:E25)</f>
        <v>0</v>
      </c>
      <c r="F26" s="49">
        <f>SUM(F22:F25)</f>
        <v>5448848</v>
      </c>
    </row>
    <row r="27" spans="1:6">
      <c r="A27" s="50"/>
      <c r="B27" s="51" t="s">
        <v>1594</v>
      </c>
      <c r="C27" s="52">
        <v>0</v>
      </c>
      <c r="D27" s="52">
        <v>0</v>
      </c>
      <c r="E27" s="52">
        <v>0</v>
      </c>
      <c r="F27" s="53">
        <f>C27+D27-E27</f>
        <v>0</v>
      </c>
    </row>
    <row r="28" spans="1:6">
      <c r="A28" s="54"/>
      <c r="B28" s="47" t="s">
        <v>1595</v>
      </c>
      <c r="C28" s="48">
        <f>C12+C15+C19+C26+C27</f>
        <v>13758254</v>
      </c>
      <c r="D28" s="48">
        <f>D12+D15+D19+D26+D27</f>
        <v>1758533</v>
      </c>
      <c r="E28" s="48">
        <f>E12+E15+E19+E26+E27</f>
        <v>389574</v>
      </c>
      <c r="F28" s="55">
        <f>C28+D28-E28</f>
        <v>15127213</v>
      </c>
    </row>
    <row r="29" spans="1:6">
      <c r="A29" s="1278"/>
      <c r="B29" s="1278"/>
      <c r="C29" s="1279"/>
      <c r="D29" s="1279"/>
      <c r="E29" s="1279"/>
      <c r="F29" s="1279"/>
    </row>
    <row r="30" spans="1:6">
      <c r="A30" s="22"/>
      <c r="B30" s="22"/>
      <c r="C30" s="56"/>
      <c r="D30" s="56"/>
      <c r="E30" s="56"/>
      <c r="F30" s="56"/>
    </row>
    <row r="31" spans="1:6">
      <c r="A31" s="1548" t="s">
        <v>20</v>
      </c>
      <c r="B31" s="1548"/>
      <c r="C31" s="1548"/>
      <c r="D31" s="1548"/>
      <c r="E31" s="1548"/>
      <c r="F31" s="1548"/>
    </row>
  </sheetData>
  <mergeCells count="6">
    <mergeCell ref="A31:F31"/>
    <mergeCell ref="A1:F1"/>
    <mergeCell ref="B2:F2"/>
    <mergeCell ref="B3:F3"/>
    <mergeCell ref="B16:F16"/>
    <mergeCell ref="B21:F21"/>
  </mergeCells>
  <printOptions horizontalCentered="1" verticalCentered="1"/>
  <pageMargins left="0" right="0" top="0" bottom="0" header="0.35433070866141703" footer="0.31496062992126"/>
  <pageSetup paperSize="9" scale="9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2:G26"/>
  <sheetViews>
    <sheetView view="pageBreakPreview" topLeftCell="A10" zoomScaleNormal="100" zoomScaleSheetLayoutView="100" workbookViewId="0">
      <selection activeCell="D27" sqref="D27"/>
    </sheetView>
  </sheetViews>
  <sheetFormatPr defaultColWidth="9" defaultRowHeight="12.75"/>
  <cols>
    <col min="1" max="1" width="10" customWidth="1"/>
    <col min="2" max="2" width="50.42578125" customWidth="1"/>
    <col min="3" max="3" width="21.85546875" customWidth="1"/>
  </cols>
  <sheetData>
    <row r="2" spans="1:3">
      <c r="A2" s="1704" t="s">
        <v>1914</v>
      </c>
      <c r="B2" s="1705"/>
      <c r="C2" s="1705"/>
    </row>
    <row r="4" spans="1:3" ht="15">
      <c r="A4" s="1706" t="s">
        <v>0</v>
      </c>
      <c r="B4" s="1706"/>
      <c r="C4" s="1706"/>
    </row>
    <row r="5" spans="1:3" ht="15">
      <c r="A5" s="1707" t="s">
        <v>43</v>
      </c>
      <c r="B5" s="1707"/>
      <c r="C5" s="1707"/>
    </row>
    <row r="7" spans="1:3" ht="15">
      <c r="A7" s="1707" t="s">
        <v>1596</v>
      </c>
      <c r="B7" s="1707"/>
      <c r="C7" s="1707"/>
    </row>
    <row r="8" spans="1:3" ht="36.75" customHeight="1">
      <c r="A8" s="1708" t="s">
        <v>1597</v>
      </c>
      <c r="B8" s="1708"/>
      <c r="C8" s="1708"/>
    </row>
    <row r="10" spans="1:3" ht="15">
      <c r="A10" s="8" t="s">
        <v>605</v>
      </c>
      <c r="B10" s="9" t="s">
        <v>680</v>
      </c>
      <c r="C10" s="10" t="s">
        <v>534</v>
      </c>
    </row>
    <row r="11" spans="1:3" ht="15">
      <c r="A11" s="1128">
        <v>1</v>
      </c>
      <c r="B11" s="1117" t="s">
        <v>1667</v>
      </c>
      <c r="C11" s="1133">
        <v>597000</v>
      </c>
    </row>
    <row r="12" spans="1:3" ht="15">
      <c r="A12" s="1128">
        <v>2</v>
      </c>
      <c r="B12" s="1117" t="s">
        <v>1668</v>
      </c>
      <c r="C12" s="1133">
        <v>70200</v>
      </c>
    </row>
    <row r="13" spans="1:3" ht="15">
      <c r="A13" s="1128">
        <v>3</v>
      </c>
      <c r="B13" s="1117" t="s">
        <v>1669</v>
      </c>
      <c r="C13" s="1133">
        <v>234626</v>
      </c>
    </row>
    <row r="14" spans="1:3" ht="15">
      <c r="A14" s="1128">
        <v>4</v>
      </c>
      <c r="B14" s="1117" t="s">
        <v>1670</v>
      </c>
      <c r="C14" s="1133">
        <f>18000</f>
        <v>18000</v>
      </c>
    </row>
    <row r="15" spans="1:3" ht="30">
      <c r="A15" s="1128">
        <v>5</v>
      </c>
      <c r="B15" s="1132" t="s">
        <v>1671</v>
      </c>
      <c r="C15" s="1133">
        <v>2370271</v>
      </c>
    </row>
    <row r="16" spans="1:3" ht="15">
      <c r="A16" s="1129">
        <v>6</v>
      </c>
      <c r="B16" s="1130" t="s">
        <v>1673</v>
      </c>
      <c r="C16" s="1133">
        <v>24000</v>
      </c>
    </row>
    <row r="17" spans="1:7" ht="15">
      <c r="A17" s="1131">
        <v>7</v>
      </c>
      <c r="B17" s="1117" t="s">
        <v>1672</v>
      </c>
      <c r="C17" s="1133">
        <v>25937099</v>
      </c>
    </row>
    <row r="18" spans="1:7" ht="15">
      <c r="A18" s="1131"/>
      <c r="B18" s="1117"/>
      <c r="C18" s="1127"/>
    </row>
    <row r="19" spans="1:7" ht="15">
      <c r="A19" s="1131"/>
      <c r="B19" s="1117"/>
      <c r="C19" s="1127"/>
    </row>
    <row r="20" spans="1:7" ht="15">
      <c r="A20" s="1131"/>
      <c r="B20" s="1117"/>
      <c r="C20" s="1127"/>
    </row>
    <row r="21" spans="1:7" ht="15">
      <c r="A21" s="18"/>
      <c r="B21" s="1110" t="s">
        <v>491</v>
      </c>
      <c r="C21" s="1127">
        <f>SUM(C11:C20)</f>
        <v>29251196</v>
      </c>
    </row>
    <row r="22" spans="1:7" ht="15">
      <c r="A22" s="1272"/>
      <c r="B22" s="1273"/>
      <c r="C22" s="1270"/>
    </row>
    <row r="23" spans="1:7" ht="15">
      <c r="A23" s="1271"/>
      <c r="B23" s="1271"/>
      <c r="C23" s="1271"/>
    </row>
    <row r="24" spans="1:7" ht="15">
      <c r="A24" s="1271"/>
      <c r="B24" s="1271"/>
      <c r="C24" s="1271"/>
    </row>
    <row r="25" spans="1:7" ht="15">
      <c r="A25" s="1271"/>
      <c r="B25" s="1271"/>
      <c r="C25" s="1271"/>
    </row>
    <row r="26" spans="1:7" ht="15.75" thickBot="1">
      <c r="A26" s="1274"/>
      <c r="B26" s="1702" t="s">
        <v>20</v>
      </c>
      <c r="C26" s="1703"/>
      <c r="D26" s="1269"/>
      <c r="E26" s="1269"/>
      <c r="F26" s="1269"/>
      <c r="G26" s="1269"/>
    </row>
  </sheetData>
  <mergeCells count="6">
    <mergeCell ref="B26:C26"/>
    <mergeCell ref="A2:C2"/>
    <mergeCell ref="A4:C4"/>
    <mergeCell ref="A5:C5"/>
    <mergeCell ref="A7:C7"/>
    <mergeCell ref="A8:C8"/>
  </mergeCells>
  <printOptions horizontalCentered="1" verticalCentered="1"/>
  <pageMargins left="0" right="0" top="0" bottom="0" header="0.35433070866141703" footer="0.31496062992126"/>
  <pageSetup paperSize="9" scale="9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D129"/>
  <sheetViews>
    <sheetView view="pageBreakPreview" topLeftCell="A48" zoomScale="115" zoomScaleNormal="100" zoomScaleSheetLayoutView="115" workbookViewId="0">
      <selection activeCell="C55" sqref="C55"/>
    </sheetView>
  </sheetViews>
  <sheetFormatPr defaultColWidth="9" defaultRowHeight="15"/>
  <cols>
    <col min="1" max="1" width="4.5703125" style="1" customWidth="1"/>
    <col min="2" max="2" width="7.42578125" customWidth="1"/>
    <col min="3" max="3" width="73.5703125" customWidth="1"/>
    <col min="4" max="4" width="15" customWidth="1"/>
  </cols>
  <sheetData>
    <row r="1" spans="1:4" ht="15.75">
      <c r="A1" s="1280"/>
      <c r="B1" s="1710" t="s">
        <v>1915</v>
      </c>
      <c r="C1" s="1710"/>
      <c r="D1" s="1710"/>
    </row>
    <row r="2" spans="1:4" ht="15.75">
      <c r="A2" s="1280"/>
      <c r="B2" s="1282"/>
      <c r="C2" s="1282"/>
      <c r="D2" s="1282"/>
    </row>
    <row r="3" spans="1:4" ht="15.75">
      <c r="A3" s="1280"/>
      <c r="B3" s="1711" t="s">
        <v>0</v>
      </c>
      <c r="C3" s="1711"/>
      <c r="D3" s="1711"/>
    </row>
    <row r="4" spans="1:4" ht="15.75">
      <c r="A4" s="1280"/>
      <c r="B4" s="1712" t="s">
        <v>43</v>
      </c>
      <c r="C4" s="1712"/>
      <c r="D4" s="1712"/>
    </row>
    <row r="5" spans="1:4" ht="9.75" customHeight="1">
      <c r="A5" s="1280"/>
      <c r="B5" s="1282"/>
      <c r="C5" s="1282"/>
      <c r="D5" s="1282"/>
    </row>
    <row r="6" spans="1:4" ht="15.75">
      <c r="A6" s="1280"/>
      <c r="B6" s="1712" t="s">
        <v>1598</v>
      </c>
      <c r="C6" s="1712"/>
      <c r="D6" s="1712"/>
    </row>
    <row r="7" spans="1:4" ht="15" customHeight="1">
      <c r="A7" s="1280"/>
      <c r="B7" s="1713" t="s">
        <v>1599</v>
      </c>
      <c r="C7" s="1713"/>
      <c r="D7" s="1713"/>
    </row>
    <row r="8" spans="1:4" ht="15.75">
      <c r="A8" s="1280"/>
      <c r="B8" s="1282"/>
      <c r="C8" s="1282"/>
      <c r="D8" s="1282"/>
    </row>
    <row r="9" spans="1:4" ht="15.75">
      <c r="A9" s="1281" t="s">
        <v>1600</v>
      </c>
      <c r="B9" s="1709" t="s">
        <v>982</v>
      </c>
      <c r="C9" s="1709"/>
      <c r="D9" s="1709"/>
    </row>
    <row r="10" spans="1:4" ht="15.75">
      <c r="A10" s="1281"/>
      <c r="B10" s="1283" t="s">
        <v>605</v>
      </c>
      <c r="C10" s="1283" t="s">
        <v>680</v>
      </c>
      <c r="D10" s="1283" t="s">
        <v>534</v>
      </c>
    </row>
    <row r="11" spans="1:4" ht="15.75">
      <c r="A11" s="1281"/>
      <c r="B11" s="1284"/>
      <c r="C11" s="1285"/>
      <c r="D11" s="1284"/>
    </row>
    <row r="12" spans="1:4" ht="31.5">
      <c r="A12" s="1281"/>
      <c r="B12" s="1286">
        <v>1</v>
      </c>
      <c r="C12" s="1285" t="s">
        <v>1674</v>
      </c>
      <c r="D12" s="1286">
        <v>65000</v>
      </c>
    </row>
    <row r="13" spans="1:4" ht="34.5" customHeight="1">
      <c r="A13" s="1281"/>
      <c r="B13" s="1286">
        <v>2</v>
      </c>
      <c r="C13" s="1285" t="s">
        <v>1675</v>
      </c>
      <c r="D13" s="1286">
        <v>50000</v>
      </c>
    </row>
    <row r="14" spans="1:4" ht="31.5">
      <c r="A14" s="1281"/>
      <c r="B14" s="1286">
        <v>3</v>
      </c>
      <c r="C14" s="1285" t="s">
        <v>1676</v>
      </c>
      <c r="D14" s="1286">
        <v>42000</v>
      </c>
    </row>
    <row r="15" spans="1:4" ht="15.75">
      <c r="A15" s="1281"/>
      <c r="B15" s="1286">
        <v>4</v>
      </c>
      <c r="C15" s="1287" t="s">
        <v>1677</v>
      </c>
      <c r="D15" s="1286">
        <v>13000</v>
      </c>
    </row>
    <row r="16" spans="1:4" ht="47.25">
      <c r="A16" s="1281"/>
      <c r="B16" s="1286">
        <v>5</v>
      </c>
      <c r="C16" s="1285" t="s">
        <v>1678</v>
      </c>
      <c r="D16" s="1288">
        <v>21600</v>
      </c>
    </row>
    <row r="17" spans="1:4" ht="15.75">
      <c r="A17" s="1281"/>
      <c r="B17" s="1284"/>
      <c r="C17" s="1284"/>
      <c r="D17" s="1284">
        <f>SUM(D12:D16)</f>
        <v>191600</v>
      </c>
    </row>
    <row r="18" spans="1:4" ht="15.75">
      <c r="A18" s="1281"/>
      <c r="B18" s="1284"/>
      <c r="C18" s="1284"/>
      <c r="D18" s="1284"/>
    </row>
    <row r="19" spans="1:4" ht="15.75">
      <c r="A19" s="1280"/>
      <c r="B19" s="1289"/>
      <c r="C19" s="1289"/>
      <c r="D19" s="1289"/>
    </row>
    <row r="20" spans="1:4" ht="15.75">
      <c r="A20" s="1281" t="s">
        <v>1601</v>
      </c>
      <c r="B20" s="1709" t="s">
        <v>592</v>
      </c>
      <c r="C20" s="1709"/>
      <c r="D20" s="1709"/>
    </row>
    <row r="21" spans="1:4" ht="15.75">
      <c r="A21" s="1281"/>
      <c r="B21" s="1283" t="s">
        <v>605</v>
      </c>
      <c r="C21" s="1283" t="s">
        <v>680</v>
      </c>
      <c r="D21" s="1283" t="s">
        <v>534</v>
      </c>
    </row>
    <row r="22" spans="1:4" ht="31.5">
      <c r="A22" s="1281"/>
      <c r="B22" s="1290">
        <v>1</v>
      </c>
      <c r="C22" s="1291" t="s">
        <v>1679</v>
      </c>
      <c r="D22" s="1292">
        <v>57200</v>
      </c>
    </row>
    <row r="23" spans="1:4" ht="31.5">
      <c r="A23" s="1281"/>
      <c r="B23" s="1290">
        <v>2</v>
      </c>
      <c r="C23" s="1291" t="s">
        <v>1680</v>
      </c>
      <c r="D23" s="1292">
        <v>16000</v>
      </c>
    </row>
    <row r="24" spans="1:4" ht="31.5">
      <c r="A24" s="1281"/>
      <c r="B24" s="1290">
        <v>3</v>
      </c>
      <c r="C24" s="1291" t="s">
        <v>1681</v>
      </c>
      <c r="D24" s="1292">
        <v>3400</v>
      </c>
    </row>
    <row r="25" spans="1:4" ht="31.5">
      <c r="A25" s="1281"/>
      <c r="B25" s="1290">
        <v>4</v>
      </c>
      <c r="C25" s="1291" t="s">
        <v>1682</v>
      </c>
      <c r="D25" s="1292">
        <v>21300</v>
      </c>
    </row>
    <row r="26" spans="1:4" ht="31.5">
      <c r="A26" s="1281"/>
      <c r="B26" s="1290">
        <v>5</v>
      </c>
      <c r="C26" s="1291" t="s">
        <v>1683</v>
      </c>
      <c r="D26" s="1292">
        <v>45000</v>
      </c>
    </row>
    <row r="27" spans="1:4" ht="31.5">
      <c r="A27" s="1281"/>
      <c r="B27" s="1290">
        <v>6</v>
      </c>
      <c r="C27" s="1291" t="s">
        <v>1684</v>
      </c>
      <c r="D27" s="1292">
        <v>24950</v>
      </c>
    </row>
    <row r="28" spans="1:4" ht="31.5">
      <c r="A28" s="1281"/>
      <c r="B28" s="1290">
        <v>7</v>
      </c>
      <c r="C28" s="1291" t="s">
        <v>1685</v>
      </c>
      <c r="D28" s="1292">
        <v>18750</v>
      </c>
    </row>
    <row r="29" spans="1:4" ht="31.5">
      <c r="A29" s="1281"/>
      <c r="B29" s="1290">
        <v>8</v>
      </c>
      <c r="C29" s="1291" t="s">
        <v>1686</v>
      </c>
      <c r="D29" s="1292">
        <v>67500</v>
      </c>
    </row>
    <row r="30" spans="1:4" ht="42" customHeight="1">
      <c r="A30" s="1281"/>
      <c r="B30" s="1290">
        <v>9</v>
      </c>
      <c r="C30" s="1291" t="s">
        <v>1687</v>
      </c>
      <c r="D30" s="1292">
        <v>50400</v>
      </c>
    </row>
    <row r="31" spans="1:4" ht="39" customHeight="1">
      <c r="A31" s="1281"/>
      <c r="B31" s="1290">
        <v>10</v>
      </c>
      <c r="C31" s="1291" t="s">
        <v>1688</v>
      </c>
      <c r="D31" s="1292">
        <v>121700</v>
      </c>
    </row>
    <row r="32" spans="1:4" ht="31.5">
      <c r="A32" s="1281"/>
      <c r="B32" s="1290">
        <v>11</v>
      </c>
      <c r="C32" s="1291" t="s">
        <v>1689</v>
      </c>
      <c r="D32" s="1292">
        <v>38300</v>
      </c>
    </row>
    <row r="33" spans="1:4" ht="15.75">
      <c r="A33" s="1281"/>
      <c r="B33" s="1284"/>
      <c r="C33" s="1284"/>
      <c r="D33" s="1284"/>
    </row>
    <row r="34" spans="1:4" ht="15.75">
      <c r="A34" s="1281"/>
      <c r="B34" s="1284"/>
      <c r="C34" s="1284"/>
      <c r="D34" s="1284">
        <f>SUM(D22:D33)</f>
        <v>464500</v>
      </c>
    </row>
    <row r="35" spans="1:4" ht="15.75">
      <c r="A35" s="1281" t="s">
        <v>1602</v>
      </c>
      <c r="B35" s="1709" t="s">
        <v>1603</v>
      </c>
      <c r="C35" s="1709"/>
      <c r="D35" s="1709"/>
    </row>
    <row r="36" spans="1:4" ht="15.75">
      <c r="A36" s="1281"/>
      <c r="B36" s="1283" t="s">
        <v>605</v>
      </c>
      <c r="C36" s="1283" t="s">
        <v>680</v>
      </c>
      <c r="D36" s="1283" t="s">
        <v>534</v>
      </c>
    </row>
    <row r="37" spans="1:4" ht="47.25">
      <c r="A37" s="1281"/>
      <c r="B37" s="1290">
        <v>1</v>
      </c>
      <c r="C37" s="1291" t="s">
        <v>1690</v>
      </c>
      <c r="D37" s="1293">
        <v>121500</v>
      </c>
    </row>
    <row r="38" spans="1:4" ht="44.25" customHeight="1">
      <c r="A38" s="1281"/>
      <c r="B38" s="1290">
        <v>2</v>
      </c>
      <c r="C38" s="1291" t="s">
        <v>1691</v>
      </c>
      <c r="D38" s="1293">
        <v>45000</v>
      </c>
    </row>
    <row r="39" spans="1:4" ht="47.25" customHeight="1">
      <c r="A39" s="1281"/>
      <c r="B39" s="1290">
        <v>3</v>
      </c>
      <c r="C39" s="1291" t="s">
        <v>1692</v>
      </c>
      <c r="D39" s="1293">
        <v>600000</v>
      </c>
    </row>
    <row r="40" spans="1:4" ht="47.25" customHeight="1">
      <c r="A40" s="1281"/>
      <c r="B40" s="1290">
        <v>4</v>
      </c>
      <c r="C40" s="1291" t="s">
        <v>1693</v>
      </c>
      <c r="D40" s="1293">
        <v>480000</v>
      </c>
    </row>
    <row r="41" spans="1:4" ht="15.75">
      <c r="A41" s="1281"/>
      <c r="B41" s="1294"/>
      <c r="C41" s="1294"/>
      <c r="D41" s="1295">
        <f>SUM(D37:D40)</f>
        <v>1246500</v>
      </c>
    </row>
    <row r="42" spans="1:4" ht="15.75">
      <c r="A42" s="1280"/>
      <c r="B42" s="1282"/>
      <c r="C42" s="1282"/>
      <c r="D42" s="1282"/>
    </row>
    <row r="43" spans="1:4" ht="15.75">
      <c r="A43" s="1281" t="s">
        <v>1604</v>
      </c>
      <c r="B43" s="1709" t="s">
        <v>1605</v>
      </c>
      <c r="C43" s="1709"/>
      <c r="D43" s="1709"/>
    </row>
    <row r="44" spans="1:4" ht="15.75">
      <c r="A44" s="1281"/>
      <c r="B44" s="1283" t="s">
        <v>605</v>
      </c>
      <c r="C44" s="1283" t="s">
        <v>680</v>
      </c>
      <c r="D44" s="1283" t="s">
        <v>534</v>
      </c>
    </row>
    <row r="45" spans="1:4" ht="31.5">
      <c r="A45" s="1281"/>
      <c r="B45" s="1283"/>
      <c r="C45" s="1296" t="s">
        <v>1694</v>
      </c>
      <c r="D45" s="1292">
        <v>1413988</v>
      </c>
    </row>
    <row r="46" spans="1:4" ht="32.25" customHeight="1">
      <c r="A46" s="1281"/>
      <c r="B46" s="1283"/>
      <c r="C46" s="1296" t="s">
        <v>1695</v>
      </c>
      <c r="D46" s="1292">
        <v>1111425</v>
      </c>
    </row>
    <row r="47" spans="1:4" ht="30.75" customHeight="1">
      <c r="A47" s="1281"/>
      <c r="B47" s="1294"/>
      <c r="C47" s="1296" t="s">
        <v>1696</v>
      </c>
      <c r="D47" s="1297">
        <v>1299892</v>
      </c>
    </row>
    <row r="48" spans="1:4" ht="47.25">
      <c r="A48" s="1281"/>
      <c r="B48" s="1294"/>
      <c r="C48" s="1291" t="s">
        <v>1697</v>
      </c>
      <c r="D48" s="1293">
        <v>1799000</v>
      </c>
    </row>
    <row r="49" spans="1:4" ht="47.25">
      <c r="A49" s="1281"/>
      <c r="B49" s="1294"/>
      <c r="C49" s="1291" t="s">
        <v>1703</v>
      </c>
      <c r="D49" s="1293">
        <v>2500000</v>
      </c>
    </row>
    <row r="50" spans="1:4" ht="15.75">
      <c r="A50" s="1281"/>
      <c r="B50" s="1294"/>
      <c r="C50" s="1296"/>
      <c r="D50" s="1297">
        <f>SUM(D45:D49)</f>
        <v>8124305</v>
      </c>
    </row>
    <row r="51" spans="1:4" ht="15.75">
      <c r="A51" s="1280"/>
      <c r="B51" s="1282"/>
      <c r="C51" s="1282"/>
      <c r="D51" s="1282"/>
    </row>
    <row r="52" spans="1:4" ht="15.75">
      <c r="A52" s="1281" t="s">
        <v>1606</v>
      </c>
      <c r="B52" s="1709" t="s">
        <v>1607</v>
      </c>
      <c r="C52" s="1709"/>
      <c r="D52" s="1709"/>
    </row>
    <row r="53" spans="1:4" ht="15.75">
      <c r="A53" s="1281"/>
      <c r="B53" s="1283" t="s">
        <v>605</v>
      </c>
      <c r="C53" s="1283" t="s">
        <v>680</v>
      </c>
      <c r="D53" s="1283" t="s">
        <v>534</v>
      </c>
    </row>
    <row r="54" spans="1:4" ht="31.5">
      <c r="A54" s="1281"/>
      <c r="B54" s="1283"/>
      <c r="C54" s="1296" t="s">
        <v>1701</v>
      </c>
      <c r="D54" s="1292">
        <v>932565</v>
      </c>
    </row>
    <row r="55" spans="1:4" ht="31.5">
      <c r="A55" s="1281"/>
      <c r="B55" s="1283"/>
      <c r="C55" s="1296" t="s">
        <v>1702</v>
      </c>
      <c r="D55" s="1292">
        <v>1381663</v>
      </c>
    </row>
    <row r="56" spans="1:4" ht="31.5">
      <c r="A56" s="1281"/>
      <c r="B56" s="1283"/>
      <c r="C56" s="1296" t="s">
        <v>1704</v>
      </c>
      <c r="D56" s="1298">
        <v>3400000</v>
      </c>
    </row>
    <row r="57" spans="1:4" ht="47.25">
      <c r="A57" s="1281"/>
      <c r="B57" s="1283"/>
      <c r="C57" s="1291" t="s">
        <v>1705</v>
      </c>
      <c r="D57" s="1293">
        <v>777564</v>
      </c>
    </row>
    <row r="58" spans="1:4" ht="31.5">
      <c r="A58" s="1281"/>
      <c r="B58" s="1283"/>
      <c r="C58" s="1291" t="s">
        <v>1706</v>
      </c>
      <c r="D58" s="1293">
        <v>57249</v>
      </c>
    </row>
    <row r="59" spans="1:4" ht="63">
      <c r="A59" s="1281"/>
      <c r="B59" s="1283"/>
      <c r="C59" s="1291" t="s">
        <v>1707</v>
      </c>
      <c r="D59" s="1293">
        <v>915104</v>
      </c>
    </row>
    <row r="60" spans="1:4" ht="63">
      <c r="A60" s="1281"/>
      <c r="B60" s="1283"/>
      <c r="C60" s="1291" t="s">
        <v>1708</v>
      </c>
      <c r="D60" s="1293">
        <v>584584</v>
      </c>
    </row>
    <row r="61" spans="1:4" ht="31.5">
      <c r="A61" s="1281"/>
      <c r="B61" s="1283"/>
      <c r="C61" s="1291" t="s">
        <v>1709</v>
      </c>
      <c r="D61" s="1293">
        <v>1500000</v>
      </c>
    </row>
    <row r="62" spans="1:4" ht="47.25">
      <c r="A62" s="1281"/>
      <c r="B62" s="1283"/>
      <c r="C62" s="1296" t="s">
        <v>1710</v>
      </c>
      <c r="D62" s="1293">
        <v>1598143</v>
      </c>
    </row>
    <row r="63" spans="1:4" ht="47.25">
      <c r="A63" s="1281"/>
      <c r="B63" s="1283"/>
      <c r="C63" s="1291" t="s">
        <v>1711</v>
      </c>
      <c r="D63" s="1293">
        <v>1380346</v>
      </c>
    </row>
    <row r="64" spans="1:4" ht="47.25">
      <c r="A64" s="1281"/>
      <c r="B64" s="1283"/>
      <c r="C64" s="1291" t="s">
        <v>1712</v>
      </c>
      <c r="D64" s="1293">
        <v>1150000</v>
      </c>
    </row>
    <row r="65" spans="1:4" ht="47.25">
      <c r="A65" s="1281"/>
      <c r="B65" s="1283"/>
      <c r="C65" s="1291" t="s">
        <v>1713</v>
      </c>
      <c r="D65" s="1293">
        <v>1700000</v>
      </c>
    </row>
    <row r="66" spans="1:4" ht="15.75">
      <c r="A66" s="1281"/>
      <c r="B66" s="1283"/>
      <c r="C66" s="1283" t="s">
        <v>491</v>
      </c>
      <c r="D66" s="1292">
        <f>SUM(D54:D65)</f>
        <v>15377218</v>
      </c>
    </row>
    <row r="67" spans="1:4" ht="15.75">
      <c r="A67" s="1280"/>
      <c r="B67" s="1282"/>
      <c r="C67" s="1282"/>
      <c r="D67" s="1282"/>
    </row>
    <row r="68" spans="1:4" ht="15.75">
      <c r="A68" s="1281" t="s">
        <v>1608</v>
      </c>
      <c r="B68" s="1709" t="s">
        <v>1609</v>
      </c>
      <c r="C68" s="1709"/>
      <c r="D68" s="1709"/>
    </row>
    <row r="69" spans="1:4" ht="15.75">
      <c r="A69" s="1281"/>
      <c r="B69" s="1283" t="s">
        <v>605</v>
      </c>
      <c r="C69" s="1283" t="s">
        <v>680</v>
      </c>
      <c r="D69" s="1283" t="s">
        <v>534</v>
      </c>
    </row>
    <row r="70" spans="1:4" ht="47.25">
      <c r="A70" s="1281"/>
      <c r="B70" s="1283"/>
      <c r="C70" s="1299" t="s">
        <v>1723</v>
      </c>
      <c r="D70" s="1300">
        <v>929740</v>
      </c>
    </row>
    <row r="71" spans="1:4" ht="47.25">
      <c r="A71" s="1281"/>
      <c r="B71" s="1283"/>
      <c r="C71" s="1231" t="s">
        <v>1724</v>
      </c>
      <c r="D71" s="1300">
        <v>925181</v>
      </c>
    </row>
    <row r="72" spans="1:4" ht="47.25">
      <c r="A72" s="1281"/>
      <c r="B72" s="1283"/>
      <c r="C72" s="1231" t="s">
        <v>1725</v>
      </c>
      <c r="D72" s="1300">
        <v>228000</v>
      </c>
    </row>
    <row r="73" spans="1:4" ht="28.5" customHeight="1">
      <c r="A73" s="1281"/>
      <c r="B73" s="1283"/>
      <c r="C73" s="1231" t="s">
        <v>1726</v>
      </c>
      <c r="D73" s="1300">
        <v>250000</v>
      </c>
    </row>
    <row r="74" spans="1:4" ht="47.25">
      <c r="A74" s="1281"/>
      <c r="B74" s="1283"/>
      <c r="C74" s="1299" t="s">
        <v>1727</v>
      </c>
      <c r="D74" s="1300">
        <v>858910</v>
      </c>
    </row>
    <row r="75" spans="1:4" ht="15.75">
      <c r="A75" s="1281"/>
      <c r="B75" s="1283"/>
      <c r="C75" s="1301" t="s">
        <v>1728</v>
      </c>
      <c r="D75" s="1302">
        <f>SUM(D70:D74)</f>
        <v>3191831</v>
      </c>
    </row>
    <row r="76" spans="1:4" ht="15.75">
      <c r="A76" s="1281"/>
      <c r="B76" s="1283"/>
      <c r="C76" s="1301" t="s">
        <v>838</v>
      </c>
      <c r="D76" s="1302"/>
    </row>
    <row r="77" spans="1:4" ht="15.75">
      <c r="A77" s="1281"/>
      <c r="B77" s="1283"/>
      <c r="C77" s="1303" t="s">
        <v>1869</v>
      </c>
      <c r="D77" s="1283"/>
    </row>
    <row r="78" spans="1:4" ht="39" customHeight="1">
      <c r="A78" s="1281" t="s">
        <v>1868</v>
      </c>
      <c r="B78" s="1283"/>
      <c r="C78" s="1304" t="s">
        <v>1714</v>
      </c>
      <c r="D78" s="1305">
        <v>1500000</v>
      </c>
    </row>
    <row r="79" spans="1:4" ht="31.5">
      <c r="A79" s="1281"/>
      <c r="B79" s="1283"/>
      <c r="C79" s="1304" t="s">
        <v>1715</v>
      </c>
      <c r="D79" s="1305">
        <v>700000</v>
      </c>
    </row>
    <row r="80" spans="1:4" ht="31.5">
      <c r="A80" s="1281"/>
      <c r="B80" s="1283"/>
      <c r="C80" s="1304" t="s">
        <v>1716</v>
      </c>
      <c r="D80" s="1305">
        <v>200000</v>
      </c>
    </row>
    <row r="81" spans="1:4" ht="31.5">
      <c r="A81" s="1281"/>
      <c r="B81" s="1283"/>
      <c r="C81" s="1304" t="s">
        <v>1717</v>
      </c>
      <c r="D81" s="1305">
        <v>400000</v>
      </c>
    </row>
    <row r="82" spans="1:4" ht="31.5">
      <c r="A82" s="1281"/>
      <c r="B82" s="1283"/>
      <c r="C82" s="1304" t="s">
        <v>1718</v>
      </c>
      <c r="D82" s="1305">
        <v>350000</v>
      </c>
    </row>
    <row r="83" spans="1:4" ht="31.5">
      <c r="A83" s="1281"/>
      <c r="B83" s="1283"/>
      <c r="C83" s="1304" t="s">
        <v>1719</v>
      </c>
      <c r="D83" s="1305">
        <v>150000</v>
      </c>
    </row>
    <row r="84" spans="1:4" ht="31.5">
      <c r="A84" s="1281"/>
      <c r="B84" s="1283"/>
      <c r="C84" s="1304" t="s">
        <v>1720</v>
      </c>
      <c r="D84" s="1305">
        <v>1000000</v>
      </c>
    </row>
    <row r="85" spans="1:4" ht="47.25">
      <c r="A85" s="1281"/>
      <c r="B85" s="1283"/>
      <c r="C85" s="1304" t="s">
        <v>1721</v>
      </c>
      <c r="D85" s="1305">
        <v>2000000</v>
      </c>
    </row>
    <row r="86" spans="1:4" ht="33" customHeight="1">
      <c r="A86" s="1281"/>
      <c r="B86" s="1283"/>
      <c r="C86" s="1306" t="s">
        <v>1722</v>
      </c>
      <c r="D86" s="1307">
        <v>1000000</v>
      </c>
    </row>
    <row r="87" spans="1:4" ht="45" customHeight="1">
      <c r="A87" s="1281"/>
      <c r="B87" s="1283"/>
      <c r="C87" s="1306" t="s">
        <v>1729</v>
      </c>
      <c r="D87" s="1307">
        <v>4090</v>
      </c>
    </row>
    <row r="88" spans="1:4" ht="54.75" customHeight="1">
      <c r="A88" s="1281"/>
      <c r="B88" s="1283"/>
      <c r="C88" s="1306" t="s">
        <v>1730</v>
      </c>
      <c r="D88" s="1307">
        <v>13113</v>
      </c>
    </row>
    <row r="89" spans="1:4" ht="52.5" customHeight="1">
      <c r="A89" s="1281"/>
      <c r="B89" s="1283"/>
      <c r="C89" s="1308" t="s">
        <v>1864</v>
      </c>
      <c r="D89" s="1307">
        <v>10000</v>
      </c>
    </row>
    <row r="90" spans="1:4" ht="51" customHeight="1">
      <c r="A90" s="1281"/>
      <c r="B90" s="1283"/>
      <c r="C90" s="1308" t="s">
        <v>1865</v>
      </c>
      <c r="D90" s="1307">
        <v>35000</v>
      </c>
    </row>
    <row r="91" spans="1:4" ht="46.5" customHeight="1">
      <c r="A91" s="1281"/>
      <c r="B91" s="1283"/>
      <c r="C91" s="1308" t="s">
        <v>1866</v>
      </c>
      <c r="D91" s="1307">
        <v>12980</v>
      </c>
    </row>
    <row r="92" spans="1:4" ht="63">
      <c r="A92" s="1281"/>
      <c r="B92" s="1283"/>
      <c r="C92" s="1308" t="s">
        <v>1867</v>
      </c>
      <c r="D92" s="1307">
        <v>40999</v>
      </c>
    </row>
    <row r="93" spans="1:4" ht="64.5" customHeight="1">
      <c r="A93" s="1281"/>
      <c r="B93" s="1283"/>
      <c r="C93" s="1308" t="s">
        <v>1731</v>
      </c>
      <c r="D93" s="1307">
        <v>20000</v>
      </c>
    </row>
    <row r="94" spans="1:4" ht="50.25" customHeight="1">
      <c r="A94" s="1281"/>
      <c r="B94" s="1283"/>
      <c r="C94" s="1308" t="s">
        <v>1732</v>
      </c>
      <c r="D94" s="1307">
        <v>100000</v>
      </c>
    </row>
    <row r="95" spans="1:4" ht="62.25" customHeight="1">
      <c r="A95" s="1281"/>
      <c r="B95" s="1283"/>
      <c r="C95" s="1308" t="s">
        <v>1733</v>
      </c>
      <c r="D95" s="1307">
        <v>82500</v>
      </c>
    </row>
    <row r="96" spans="1:4" ht="53.25" customHeight="1">
      <c r="A96" s="1281"/>
      <c r="B96" s="1283"/>
      <c r="C96" s="1308" t="s">
        <v>1734</v>
      </c>
      <c r="D96" s="1307">
        <v>70000</v>
      </c>
    </row>
    <row r="97" spans="1:4" ht="53.25" customHeight="1">
      <c r="A97" s="1281"/>
      <c r="B97" s="1283"/>
      <c r="C97" s="1308" t="s">
        <v>1735</v>
      </c>
      <c r="D97" s="1307">
        <v>57000</v>
      </c>
    </row>
    <row r="98" spans="1:4" ht="55.5" customHeight="1">
      <c r="A98" s="1281"/>
      <c r="B98" s="1283"/>
      <c r="C98" s="1308" t="s">
        <v>1736</v>
      </c>
      <c r="D98" s="1307">
        <v>23000</v>
      </c>
    </row>
    <row r="99" spans="1:4" ht="47.25">
      <c r="A99" s="1281"/>
      <c r="B99" s="1283"/>
      <c r="C99" s="1308" t="s">
        <v>1737</v>
      </c>
      <c r="D99" s="1307">
        <v>50000</v>
      </c>
    </row>
    <row r="100" spans="1:4" ht="63">
      <c r="A100" s="1281"/>
      <c r="B100" s="1283"/>
      <c r="C100" s="1308" t="s">
        <v>1738</v>
      </c>
      <c r="D100" s="1307">
        <v>35000</v>
      </c>
    </row>
    <row r="101" spans="1:4" ht="65.25" customHeight="1">
      <c r="A101" s="1281"/>
      <c r="B101" s="1283"/>
      <c r="C101" s="1308" t="s">
        <v>1739</v>
      </c>
      <c r="D101" s="1307">
        <v>5000</v>
      </c>
    </row>
    <row r="102" spans="1:4" ht="52.5" customHeight="1">
      <c r="A102" s="1281"/>
      <c r="B102" s="1283"/>
      <c r="C102" s="1308" t="s">
        <v>1740</v>
      </c>
      <c r="D102" s="1307">
        <v>35000</v>
      </c>
    </row>
    <row r="103" spans="1:4" ht="66" customHeight="1">
      <c r="A103" s="1281"/>
      <c r="B103" s="1283"/>
      <c r="C103" s="1308" t="s">
        <v>1741</v>
      </c>
      <c r="D103" s="1307">
        <v>25000</v>
      </c>
    </row>
    <row r="104" spans="1:4" ht="67.5" customHeight="1">
      <c r="A104" s="1281"/>
      <c r="B104" s="1283"/>
      <c r="C104" s="1308" t="s">
        <v>1742</v>
      </c>
      <c r="D104" s="1307">
        <v>11700</v>
      </c>
    </row>
    <row r="105" spans="1:4" ht="51" customHeight="1">
      <c r="A105" s="1281"/>
      <c r="B105" s="1283"/>
      <c r="C105" s="1308" t="s">
        <v>1743</v>
      </c>
      <c r="D105" s="1307">
        <v>119000</v>
      </c>
    </row>
    <row r="106" spans="1:4" ht="64.5" customHeight="1">
      <c r="A106" s="1281"/>
      <c r="B106" s="1283"/>
      <c r="C106" s="1308" t="s">
        <v>1744</v>
      </c>
      <c r="D106" s="1307">
        <v>12716</v>
      </c>
    </row>
    <row r="107" spans="1:4" ht="15.75">
      <c r="A107" s="1281"/>
      <c r="B107" s="1294"/>
      <c r="C107" s="1294"/>
      <c r="D107" s="1309">
        <f>SUM(D78:D106)</f>
        <v>8062098</v>
      </c>
    </row>
    <row r="108" spans="1:4" ht="15.75">
      <c r="A108" s="1281"/>
      <c r="B108" s="1294"/>
      <c r="C108" s="1294"/>
      <c r="D108" s="1294"/>
    </row>
    <row r="109" spans="1:4" ht="15.75">
      <c r="A109" s="1281"/>
      <c r="B109" s="1294"/>
      <c r="C109" s="1294"/>
      <c r="D109" s="1294"/>
    </row>
    <row r="111" spans="1:4">
      <c r="B111" s="1"/>
      <c r="C111" s="1"/>
      <c r="D111" s="1"/>
    </row>
    <row r="115" spans="2:4">
      <c r="B115" s="1"/>
      <c r="C115" s="1"/>
      <c r="D115" s="1"/>
    </row>
    <row r="119" spans="2:4">
      <c r="B119" s="1"/>
      <c r="C119" s="1"/>
      <c r="D119" s="1"/>
    </row>
    <row r="124" spans="2:4">
      <c r="B124" s="1"/>
      <c r="C124" s="1"/>
      <c r="D124" s="1"/>
    </row>
    <row r="129" spans="2:4">
      <c r="B129" s="1"/>
      <c r="C129" s="1"/>
      <c r="D129" s="1"/>
    </row>
  </sheetData>
  <mergeCells count="11">
    <mergeCell ref="B1:D1"/>
    <mergeCell ref="B3:D3"/>
    <mergeCell ref="B4:D4"/>
    <mergeCell ref="B6:D6"/>
    <mergeCell ref="B7:D7"/>
    <mergeCell ref="B68:D68"/>
    <mergeCell ref="B9:D9"/>
    <mergeCell ref="B20:D20"/>
    <mergeCell ref="B35:D35"/>
    <mergeCell ref="B43:D43"/>
    <mergeCell ref="B52:D52"/>
  </mergeCells>
  <printOptions horizontalCentered="1" verticalCentered="1"/>
  <pageMargins left="0" right="0" top="0" bottom="0" header="0.35433070866141703" footer="0.31496062992126"/>
  <pageSetup paperSize="9" scale="55" orientation="portrait" r:id="rId1"/>
  <headerFooter alignWithMargins="0"/>
  <rowBreaks count="3" manualBreakCount="3">
    <brk id="41" max="16383" man="1"/>
    <brk id="66" max="16383" man="1"/>
    <brk id="92" max="16383"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2:D57"/>
  <sheetViews>
    <sheetView view="pageBreakPreview" topLeftCell="A7" zoomScale="130" zoomScaleNormal="100" workbookViewId="0">
      <selection activeCell="F61" sqref="F61"/>
    </sheetView>
  </sheetViews>
  <sheetFormatPr defaultColWidth="9" defaultRowHeight="12.75"/>
  <cols>
    <col min="1" max="1" width="12.140625" customWidth="1"/>
    <col min="2" max="2" width="38" customWidth="1"/>
    <col min="3" max="3" width="21.85546875" customWidth="1"/>
  </cols>
  <sheetData>
    <row r="2" spans="1:3">
      <c r="A2" s="1704" t="s">
        <v>1914</v>
      </c>
      <c r="B2" s="1705"/>
      <c r="C2" s="1705"/>
    </row>
    <row r="4" spans="1:3" ht="15">
      <c r="A4" s="1706" t="s">
        <v>0</v>
      </c>
      <c r="B4" s="1706"/>
      <c r="C4" s="1706"/>
    </row>
    <row r="5" spans="1:3" ht="15">
      <c r="A5" s="1707" t="s">
        <v>43</v>
      </c>
      <c r="B5" s="1707"/>
      <c r="C5" s="1707"/>
    </row>
    <row r="7" spans="1:3" ht="15">
      <c r="A7" s="1706" t="s">
        <v>1610</v>
      </c>
      <c r="B7" s="1706"/>
      <c r="C7" s="1706"/>
    </row>
    <row r="8" spans="1:3" ht="36.75" customHeight="1">
      <c r="A8" s="1708" t="s">
        <v>1611</v>
      </c>
      <c r="B8" s="1708"/>
      <c r="C8" s="1708"/>
    </row>
    <row r="10" spans="1:3" ht="15">
      <c r="A10" s="8" t="s">
        <v>605</v>
      </c>
      <c r="B10" s="9" t="s">
        <v>680</v>
      </c>
      <c r="C10" s="10" t="s">
        <v>534</v>
      </c>
    </row>
    <row r="11" spans="1:3" ht="15">
      <c r="A11" s="1144">
        <v>1</v>
      </c>
      <c r="B11" s="1144" t="s">
        <v>1745</v>
      </c>
      <c r="C11" s="1145">
        <v>2000</v>
      </c>
    </row>
    <row r="12" spans="1:3" ht="15.75">
      <c r="A12" s="1146"/>
      <c r="B12" s="1147" t="s">
        <v>1746</v>
      </c>
      <c r="C12" s="1148">
        <f>SUM(C11:C11)</f>
        <v>2000</v>
      </c>
    </row>
    <row r="13" spans="1:3" ht="15.75">
      <c r="A13" s="1146"/>
      <c r="B13" s="1149" t="s">
        <v>1747</v>
      </c>
      <c r="C13" s="1150"/>
    </row>
    <row r="14" spans="1:3" ht="15.75">
      <c r="A14" s="1151">
        <v>1</v>
      </c>
      <c r="B14" s="1170" t="s">
        <v>1748</v>
      </c>
      <c r="C14" s="1171">
        <v>12160</v>
      </c>
    </row>
    <row r="15" spans="1:3" ht="16.5" thickBot="1">
      <c r="A15" s="1152">
        <v>2</v>
      </c>
      <c r="B15" s="1170" t="s">
        <v>1748</v>
      </c>
      <c r="C15" s="1171">
        <v>30800</v>
      </c>
    </row>
    <row r="16" spans="1:3" ht="15.75">
      <c r="A16" s="1151">
        <v>3</v>
      </c>
      <c r="B16" s="1170" t="s">
        <v>1749</v>
      </c>
      <c r="C16" s="1171">
        <v>199271</v>
      </c>
    </row>
    <row r="17" spans="1:3" ht="16.5" thickBot="1">
      <c r="A17" s="1152">
        <v>4</v>
      </c>
      <c r="B17" s="1170" t="s">
        <v>1750</v>
      </c>
      <c r="C17" s="1171">
        <v>5700</v>
      </c>
    </row>
    <row r="18" spans="1:3" ht="15.75">
      <c r="A18" s="1151">
        <v>5</v>
      </c>
      <c r="B18" s="1170" t="s">
        <v>1751</v>
      </c>
      <c r="C18" s="1171">
        <v>26370</v>
      </c>
    </row>
    <row r="19" spans="1:3" ht="16.5" thickBot="1">
      <c r="A19" s="1152">
        <v>6</v>
      </c>
      <c r="B19" s="1170" t="s">
        <v>1752</v>
      </c>
      <c r="C19" s="1171">
        <v>4715</v>
      </c>
    </row>
    <row r="20" spans="1:3" ht="15.75">
      <c r="A20" s="1151">
        <v>7</v>
      </c>
      <c r="B20" s="1170" t="s">
        <v>1753</v>
      </c>
      <c r="C20" s="1171">
        <v>18950</v>
      </c>
    </row>
    <row r="21" spans="1:3" ht="16.5" thickBot="1">
      <c r="A21" s="1152">
        <v>8</v>
      </c>
      <c r="B21" s="1170" t="s">
        <v>1754</v>
      </c>
      <c r="C21" s="1171">
        <v>7500</v>
      </c>
    </row>
    <row r="22" spans="1:3" ht="15.75">
      <c r="A22" s="1151">
        <v>9</v>
      </c>
      <c r="B22" s="1170" t="s">
        <v>1755</v>
      </c>
      <c r="C22" s="1171">
        <v>19000</v>
      </c>
    </row>
    <row r="23" spans="1:3" ht="16.5" thickBot="1">
      <c r="A23" s="1152">
        <v>10</v>
      </c>
      <c r="B23" s="1170" t="s">
        <v>1756</v>
      </c>
      <c r="C23" s="1171">
        <v>5760</v>
      </c>
    </row>
    <row r="24" spans="1:3" ht="15.75">
      <c r="A24" s="1151">
        <v>11</v>
      </c>
      <c r="B24" s="1170" t="s">
        <v>1762</v>
      </c>
      <c r="C24" s="1171">
        <v>5500</v>
      </c>
    </row>
    <row r="25" spans="1:3" ht="16.5" thickBot="1">
      <c r="A25" s="1152">
        <v>12</v>
      </c>
      <c r="B25" s="1170" t="s">
        <v>1761</v>
      </c>
      <c r="C25" s="1171">
        <v>60000</v>
      </c>
    </row>
    <row r="26" spans="1:3" ht="15.75">
      <c r="A26" s="1151">
        <v>13</v>
      </c>
      <c r="B26" s="1170" t="s">
        <v>1760</v>
      </c>
      <c r="C26" s="1171">
        <v>47500</v>
      </c>
    </row>
    <row r="27" spans="1:3" ht="16.5" thickBot="1">
      <c r="A27" s="1152">
        <v>14</v>
      </c>
      <c r="B27" s="1170" t="s">
        <v>1759</v>
      </c>
      <c r="C27" s="1171">
        <v>10000</v>
      </c>
    </row>
    <row r="28" spans="1:3" ht="15.75">
      <c r="A28" s="1151">
        <v>15</v>
      </c>
      <c r="B28" s="1170" t="s">
        <v>1758</v>
      </c>
      <c r="C28" s="1171">
        <v>20000</v>
      </c>
    </row>
    <row r="29" spans="1:3" ht="16.5" thickBot="1">
      <c r="A29" s="1152">
        <v>16</v>
      </c>
      <c r="B29" s="1170" t="s">
        <v>1757</v>
      </c>
      <c r="C29" s="1171">
        <v>17500</v>
      </c>
    </row>
    <row r="30" spans="1:3" ht="15.75">
      <c r="A30" s="1151">
        <v>17</v>
      </c>
      <c r="B30" s="1170" t="s">
        <v>1763</v>
      </c>
      <c r="C30" s="1171">
        <v>49250</v>
      </c>
    </row>
    <row r="31" spans="1:3" ht="16.5" thickBot="1">
      <c r="A31" s="1152">
        <v>18</v>
      </c>
      <c r="B31" s="1170" t="s">
        <v>1764</v>
      </c>
      <c r="C31" s="1171">
        <v>10620</v>
      </c>
    </row>
    <row r="32" spans="1:3" ht="15.75">
      <c r="A32" s="1151">
        <v>19</v>
      </c>
      <c r="B32" s="1170" t="s">
        <v>1765</v>
      </c>
      <c r="C32" s="1171">
        <v>20350</v>
      </c>
    </row>
    <row r="33" spans="1:3" ht="16.5" thickBot="1">
      <c r="A33" s="1152">
        <v>20</v>
      </c>
      <c r="B33" s="1170" t="s">
        <v>1766</v>
      </c>
      <c r="C33" s="1171">
        <v>10280</v>
      </c>
    </row>
    <row r="34" spans="1:3" ht="15.75">
      <c r="A34" s="1151">
        <v>21</v>
      </c>
      <c r="B34" s="1170" t="s">
        <v>1767</v>
      </c>
      <c r="C34" s="1171">
        <v>20800</v>
      </c>
    </row>
    <row r="35" spans="1:3" ht="16.5" thickBot="1">
      <c r="A35" s="1152">
        <v>22</v>
      </c>
      <c r="B35" s="1170" t="s">
        <v>1768</v>
      </c>
      <c r="C35" s="1171">
        <v>7900</v>
      </c>
    </row>
    <row r="36" spans="1:3" ht="15.75">
      <c r="A36" s="1151">
        <v>23</v>
      </c>
      <c r="B36" s="1170" t="s">
        <v>1769</v>
      </c>
      <c r="C36" s="1171">
        <v>10000</v>
      </c>
    </row>
    <row r="37" spans="1:3" ht="16.5" thickBot="1">
      <c r="A37" s="1152">
        <v>24</v>
      </c>
      <c r="B37" s="1170" t="s">
        <v>1770</v>
      </c>
      <c r="C37" s="1171">
        <v>7500</v>
      </c>
    </row>
    <row r="38" spans="1:3" ht="15.75">
      <c r="A38" s="1151">
        <v>25</v>
      </c>
      <c r="B38" s="1170" t="s">
        <v>1771</v>
      </c>
      <c r="C38" s="1171">
        <v>44000</v>
      </c>
    </row>
    <row r="39" spans="1:3" ht="16.5" thickBot="1">
      <c r="A39" s="1152">
        <v>26</v>
      </c>
      <c r="B39" s="1170" t="s">
        <v>1772</v>
      </c>
      <c r="C39" s="1171">
        <v>23000</v>
      </c>
    </row>
    <row r="40" spans="1:3" ht="15.75">
      <c r="A40" s="1151">
        <v>27</v>
      </c>
      <c r="B40" s="1170" t="s">
        <v>1773</v>
      </c>
      <c r="C40" s="1171">
        <v>45000</v>
      </c>
    </row>
    <row r="41" spans="1:3" ht="16.5" thickBot="1">
      <c r="A41" s="1152">
        <v>28</v>
      </c>
      <c r="B41" s="1170" t="s">
        <v>1758</v>
      </c>
      <c r="C41" s="1171">
        <v>70100</v>
      </c>
    </row>
    <row r="42" spans="1:3" ht="15.75">
      <c r="A42" s="1151">
        <v>29</v>
      </c>
      <c r="B42" s="1170" t="s">
        <v>1774</v>
      </c>
      <c r="C42" s="1171">
        <v>60000</v>
      </c>
    </row>
    <row r="43" spans="1:3" ht="16.5" thickBot="1">
      <c r="A43" s="1152">
        <v>30</v>
      </c>
      <c r="B43" s="1170" t="s">
        <v>1775</v>
      </c>
      <c r="C43" s="1171">
        <v>8550</v>
      </c>
    </row>
    <row r="44" spans="1:3" ht="15.75">
      <c r="A44" s="1153">
        <v>31</v>
      </c>
      <c r="B44" s="1170" t="s">
        <v>1776</v>
      </c>
      <c r="C44" s="1171">
        <v>37000</v>
      </c>
    </row>
    <row r="45" spans="1:3" ht="16.5" thickBot="1">
      <c r="A45" s="1152">
        <v>32</v>
      </c>
      <c r="B45" s="1170" t="s">
        <v>1777</v>
      </c>
      <c r="C45" s="1171">
        <v>4248</v>
      </c>
    </row>
    <row r="46" spans="1:3" ht="15.75">
      <c r="A46" s="1151">
        <v>33</v>
      </c>
      <c r="B46" s="1172" t="s">
        <v>1809</v>
      </c>
      <c r="C46" s="1173">
        <v>8571</v>
      </c>
    </row>
    <row r="47" spans="1:3" ht="16.5" thickBot="1">
      <c r="A47" s="1152">
        <v>34</v>
      </c>
      <c r="B47" s="1172" t="s">
        <v>1809</v>
      </c>
      <c r="C47" s="1173">
        <v>8500</v>
      </c>
    </row>
    <row r="48" spans="1:3" ht="15.75">
      <c r="A48" s="1151">
        <v>35</v>
      </c>
      <c r="B48" s="1172" t="s">
        <v>1810</v>
      </c>
      <c r="C48" s="1173">
        <v>9200</v>
      </c>
    </row>
    <row r="49" spans="1:4" ht="16.5" thickBot="1">
      <c r="A49" s="1152">
        <v>36</v>
      </c>
      <c r="B49" s="1172" t="s">
        <v>1811</v>
      </c>
      <c r="C49" s="1173">
        <v>49946</v>
      </c>
      <c r="D49">
        <f>SUM(D9:D48)</f>
        <v>0</v>
      </c>
    </row>
    <row r="50" spans="1:4" ht="15.75">
      <c r="A50" s="1151">
        <v>37</v>
      </c>
      <c r="B50" s="1172" t="s">
        <v>1811</v>
      </c>
      <c r="C50" s="1173">
        <v>6351</v>
      </c>
    </row>
    <row r="51" spans="1:4" ht="15.75">
      <c r="A51" s="1154">
        <v>38</v>
      </c>
      <c r="B51" s="1172" t="s">
        <v>1811</v>
      </c>
      <c r="C51" s="1173">
        <v>18784</v>
      </c>
    </row>
    <row r="52" spans="1:4" ht="16.5" thickBot="1">
      <c r="A52" s="1152">
        <v>39</v>
      </c>
      <c r="B52" s="1172" t="s">
        <v>1812</v>
      </c>
      <c r="C52" s="1173">
        <v>15000</v>
      </c>
    </row>
    <row r="53" spans="1:4" ht="16.5" thickBot="1">
      <c r="A53" s="1152">
        <v>40</v>
      </c>
      <c r="B53" s="1172" t="s">
        <v>1813</v>
      </c>
      <c r="C53" s="1173">
        <v>10000</v>
      </c>
    </row>
    <row r="54" spans="1:4" ht="15.75">
      <c r="A54" s="1151">
        <v>41</v>
      </c>
      <c r="B54" s="1172" t="s">
        <v>1814</v>
      </c>
      <c r="C54" s="1173">
        <v>22410</v>
      </c>
    </row>
    <row r="55" spans="1:4" ht="15.75">
      <c r="A55" s="1160"/>
      <c r="B55" s="1158" t="s">
        <v>1778</v>
      </c>
      <c r="C55" s="1159">
        <f>SUM(C14:C54)</f>
        <v>1068086</v>
      </c>
    </row>
    <row r="56" spans="1:4" ht="15.75">
      <c r="A56" s="1160"/>
      <c r="B56" s="1155"/>
      <c r="C56" s="1156"/>
    </row>
    <row r="57" spans="1:4" ht="15.75">
      <c r="A57" s="1157"/>
      <c r="B57" s="1158" t="s">
        <v>1779</v>
      </c>
      <c r="C57" s="1159">
        <f>C55+C12</f>
        <v>1070086</v>
      </c>
    </row>
  </sheetData>
  <mergeCells count="5">
    <mergeCell ref="A2:C2"/>
    <mergeCell ref="A4:C4"/>
    <mergeCell ref="A5:C5"/>
    <mergeCell ref="A7:C7"/>
    <mergeCell ref="A8:C8"/>
  </mergeCells>
  <printOptions horizontalCentered="1" verticalCentered="1"/>
  <pageMargins left="0" right="0" top="0" bottom="0" header="0.35433070866141703" footer="0.31496062992126"/>
  <pageSetup paperSize="9" scale="9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2:D32"/>
  <sheetViews>
    <sheetView view="pageBreakPreview" topLeftCell="A4" zoomScaleNormal="100" workbookViewId="0">
      <selection activeCell="A2" sqref="A2:C2"/>
    </sheetView>
  </sheetViews>
  <sheetFormatPr defaultColWidth="9" defaultRowHeight="12.75"/>
  <cols>
    <col min="1" max="1" width="11" customWidth="1"/>
    <col min="2" max="2" width="24.140625" customWidth="1"/>
    <col min="3" max="3" width="21.85546875" customWidth="1"/>
  </cols>
  <sheetData>
    <row r="2" spans="1:3">
      <c r="A2" s="1704" t="s">
        <v>1914</v>
      </c>
      <c r="B2" s="1705"/>
      <c r="C2" s="1705"/>
    </row>
    <row r="4" spans="1:3" ht="15">
      <c r="A4" s="1706" t="s">
        <v>0</v>
      </c>
      <c r="B4" s="1706"/>
      <c r="C4" s="1706"/>
    </row>
    <row r="5" spans="1:3" ht="15">
      <c r="A5" s="1707" t="s">
        <v>43</v>
      </c>
      <c r="B5" s="1707"/>
      <c r="C5" s="1707"/>
    </row>
    <row r="7" spans="1:3" ht="15">
      <c r="A7" s="1707" t="s">
        <v>1612</v>
      </c>
      <c r="B7" s="1707"/>
      <c r="C7" s="1707"/>
    </row>
    <row r="8" spans="1:3" ht="36.75" customHeight="1">
      <c r="A8" s="1708" t="s">
        <v>1613</v>
      </c>
      <c r="B8" s="1708"/>
      <c r="C8" s="1708"/>
    </row>
    <row r="10" spans="1:3" ht="15">
      <c r="A10" s="8" t="s">
        <v>605</v>
      </c>
      <c r="B10" s="9" t="s">
        <v>680</v>
      </c>
      <c r="C10" s="10" t="s">
        <v>534</v>
      </c>
    </row>
    <row r="11" spans="1:3" ht="15">
      <c r="A11" s="1161">
        <v>1</v>
      </c>
      <c r="B11" s="1192" t="s">
        <v>1780</v>
      </c>
      <c r="C11" s="1190">
        <v>1663745</v>
      </c>
    </row>
    <row r="12" spans="1:3" ht="15">
      <c r="A12" s="1161">
        <v>2</v>
      </c>
      <c r="B12" s="1192" t="s">
        <v>1781</v>
      </c>
      <c r="C12" s="1190">
        <v>-180678</v>
      </c>
    </row>
    <row r="13" spans="1:3" ht="15">
      <c r="A13" s="1161">
        <v>3</v>
      </c>
      <c r="B13" s="1192" t="s">
        <v>1782</v>
      </c>
      <c r="C13" s="1190">
        <v>11854</v>
      </c>
    </row>
    <row r="14" spans="1:3" ht="15">
      <c r="A14" s="1161">
        <v>4</v>
      </c>
      <c r="B14" s="1192" t="s">
        <v>1783</v>
      </c>
      <c r="C14" s="1190">
        <v>-1022</v>
      </c>
    </row>
    <row r="15" spans="1:3" ht="15">
      <c r="A15" s="1161">
        <v>5</v>
      </c>
      <c r="B15" s="1192" t="s">
        <v>1784</v>
      </c>
      <c r="C15" s="1190">
        <v>252631</v>
      </c>
    </row>
    <row r="16" spans="1:3" ht="15">
      <c r="A16" s="1161">
        <v>6</v>
      </c>
      <c r="B16" s="1192" t="s">
        <v>1785</v>
      </c>
      <c r="C16" s="1190">
        <v>91534</v>
      </c>
    </row>
    <row r="17" spans="1:4" ht="15">
      <c r="A17" s="1161">
        <v>7</v>
      </c>
      <c r="B17" s="1192" t="s">
        <v>1786</v>
      </c>
      <c r="C17" s="1190">
        <v>-25812</v>
      </c>
    </row>
    <row r="18" spans="1:4" ht="15">
      <c r="A18" s="1161">
        <v>8</v>
      </c>
      <c r="B18" s="1192" t="s">
        <v>1787</v>
      </c>
      <c r="C18" s="1190">
        <v>-67382</v>
      </c>
    </row>
    <row r="19" spans="1:4" ht="15">
      <c r="A19" s="1161">
        <v>9</v>
      </c>
      <c r="B19" s="1192" t="s">
        <v>1870</v>
      </c>
      <c r="C19" s="1190">
        <v>1000</v>
      </c>
    </row>
    <row r="20" spans="1:4" ht="15">
      <c r="A20" s="1161">
        <v>10</v>
      </c>
      <c r="B20" s="1192" t="s">
        <v>1871</v>
      </c>
      <c r="C20" s="1190"/>
    </row>
    <row r="21" spans="1:4" ht="15">
      <c r="A21" s="1161">
        <v>11</v>
      </c>
      <c r="B21" s="1192" t="s">
        <v>1788</v>
      </c>
      <c r="C21" s="1190">
        <v>108809</v>
      </c>
    </row>
    <row r="22" spans="1:4" ht="15">
      <c r="A22" s="1161">
        <v>12</v>
      </c>
      <c r="B22" s="1192" t="s">
        <v>1789</v>
      </c>
      <c r="C22" s="1190">
        <v>490171</v>
      </c>
    </row>
    <row r="23" spans="1:4" ht="15">
      <c r="A23" s="1161">
        <v>13</v>
      </c>
      <c r="B23" s="1192" t="s">
        <v>1790</v>
      </c>
      <c r="C23" s="1191">
        <v>8582</v>
      </c>
    </row>
    <row r="24" spans="1:4" ht="15">
      <c r="A24" s="1161">
        <v>14</v>
      </c>
      <c r="B24" s="1192" t="s">
        <v>1791</v>
      </c>
      <c r="C24" s="1191">
        <v>19796</v>
      </c>
    </row>
    <row r="25" spans="1:4" ht="15">
      <c r="A25" s="1161">
        <v>15</v>
      </c>
      <c r="B25" s="1192" t="s">
        <v>1792</v>
      </c>
      <c r="C25" s="1191">
        <v>0</v>
      </c>
    </row>
    <row r="26" spans="1:4" ht="15">
      <c r="A26" s="1161">
        <v>16</v>
      </c>
      <c r="B26" s="1192" t="s">
        <v>1793</v>
      </c>
      <c r="C26" s="1191">
        <v>251616</v>
      </c>
    </row>
    <row r="27" spans="1:4" ht="15">
      <c r="A27" s="1161">
        <v>17</v>
      </c>
      <c r="B27" s="1192" t="s">
        <v>1794</v>
      </c>
      <c r="C27" s="1191">
        <v>135677</v>
      </c>
    </row>
    <row r="28" spans="1:4" ht="15">
      <c r="A28" s="1161">
        <v>18</v>
      </c>
      <c r="B28" s="18" t="s">
        <v>1872</v>
      </c>
      <c r="C28" s="1191">
        <v>-2238</v>
      </c>
    </row>
    <row r="29" spans="1:4" ht="15">
      <c r="A29" s="1161">
        <v>19</v>
      </c>
      <c r="B29" s="18" t="s">
        <v>1873</v>
      </c>
      <c r="C29" s="1191">
        <v>-11</v>
      </c>
    </row>
    <row r="30" spans="1:4" ht="15">
      <c r="A30" s="11"/>
      <c r="B30" s="12"/>
      <c r="C30" s="13">
        <f>SUM(C11:C29)</f>
        <v>2758272</v>
      </c>
    </row>
    <row r="31" spans="1:4" ht="15.75" thickBot="1">
      <c r="A31" s="14"/>
      <c r="B31" s="15"/>
      <c r="C31" s="16"/>
    </row>
    <row r="32" spans="1:4">
      <c r="D32">
        <f>SUM(D9:D31)</f>
        <v>0</v>
      </c>
    </row>
  </sheetData>
  <mergeCells count="5">
    <mergeCell ref="A2:C2"/>
    <mergeCell ref="A4:C4"/>
    <mergeCell ref="A5:C5"/>
    <mergeCell ref="A7:C7"/>
    <mergeCell ref="A8:C8"/>
  </mergeCells>
  <printOptions horizontalCentered="1" verticalCentered="1"/>
  <pageMargins left="0" right="0" top="0" bottom="0" header="0.35433070866141703" footer="0.31496062992126"/>
  <pageSetup paperSize="9" scale="9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2:D17"/>
  <sheetViews>
    <sheetView view="pageBreakPreview" zoomScale="115" zoomScaleNormal="100" workbookViewId="0">
      <selection activeCell="A2" sqref="A2:C2"/>
    </sheetView>
  </sheetViews>
  <sheetFormatPr defaultColWidth="9" defaultRowHeight="12.75"/>
  <cols>
    <col min="1" max="3" width="21.85546875" customWidth="1"/>
  </cols>
  <sheetData>
    <row r="2" spans="1:3">
      <c r="A2" s="1704" t="s">
        <v>1914</v>
      </c>
      <c r="B2" s="1705"/>
      <c r="C2" s="1705"/>
    </row>
    <row r="4" spans="1:3" ht="15">
      <c r="A4" s="1706" t="s">
        <v>0</v>
      </c>
      <c r="B4" s="1706"/>
      <c r="C4" s="1706"/>
    </row>
    <row r="5" spans="1:3" ht="15">
      <c r="A5" s="1707" t="s">
        <v>43</v>
      </c>
      <c r="B5" s="1707"/>
      <c r="C5" s="1707"/>
    </row>
    <row r="7" spans="1:3" ht="15">
      <c r="A7" s="1707" t="s">
        <v>1614</v>
      </c>
      <c r="B7" s="1707"/>
      <c r="C7" s="1707"/>
    </row>
    <row r="8" spans="1:3" ht="36.75" customHeight="1">
      <c r="A8" s="1708" t="s">
        <v>1615</v>
      </c>
      <c r="B8" s="1708"/>
      <c r="C8" s="1708"/>
    </row>
    <row r="10" spans="1:3" ht="15">
      <c r="A10" s="8" t="s">
        <v>605</v>
      </c>
      <c r="B10" s="9" t="s">
        <v>680</v>
      </c>
      <c r="C10" s="10" t="s">
        <v>534</v>
      </c>
    </row>
    <row r="11" spans="1:3" ht="15">
      <c r="A11" s="1162">
        <v>1</v>
      </c>
      <c r="B11" s="12" t="s">
        <v>1795</v>
      </c>
      <c r="C11" s="13">
        <v>75000</v>
      </c>
    </row>
    <row r="12" spans="1:3" ht="15">
      <c r="A12" s="1162">
        <v>2</v>
      </c>
      <c r="B12" s="12" t="s">
        <v>1796</v>
      </c>
      <c r="C12" s="13">
        <v>60000</v>
      </c>
    </row>
    <row r="13" spans="1:3" ht="15">
      <c r="A13" s="1162">
        <v>3</v>
      </c>
      <c r="B13" s="12" t="s">
        <v>1797</v>
      </c>
      <c r="C13" s="13">
        <v>60000</v>
      </c>
    </row>
    <row r="14" spans="1:3" ht="15">
      <c r="A14" s="1162">
        <v>4</v>
      </c>
      <c r="B14" s="12" t="s">
        <v>1798</v>
      </c>
      <c r="C14" s="13">
        <v>60000</v>
      </c>
    </row>
    <row r="15" spans="1:3" ht="15">
      <c r="A15" s="1162"/>
      <c r="B15" s="1134" t="s">
        <v>491</v>
      </c>
      <c r="C15" s="13">
        <f>SUM(C11:C14)</f>
        <v>255000</v>
      </c>
    </row>
    <row r="16" spans="1:3" ht="15">
      <c r="A16" s="14"/>
      <c r="B16" s="15"/>
      <c r="C16" s="16"/>
    </row>
    <row r="17" spans="4:4">
      <c r="D17">
        <f>SUM(D9:D16)</f>
        <v>0</v>
      </c>
    </row>
  </sheetData>
  <mergeCells count="5">
    <mergeCell ref="A2:C2"/>
    <mergeCell ref="A4:C4"/>
    <mergeCell ref="A5:C5"/>
    <mergeCell ref="A7:C7"/>
    <mergeCell ref="A8:C8"/>
  </mergeCells>
  <printOptions horizontalCentered="1" verticalCentered="1"/>
  <pageMargins left="0" right="0" top="0" bottom="0" header="0.35433070866141703" footer="0.31496062992126"/>
  <pageSetup paperSize="9" scale="9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17"/>
  <sheetViews>
    <sheetView view="pageBreakPreview" topLeftCell="A30" zoomScaleNormal="100" zoomScaleSheetLayoutView="100" workbookViewId="0">
      <selection activeCell="K39" sqref="K39"/>
    </sheetView>
  </sheetViews>
  <sheetFormatPr defaultColWidth="9.140625" defaultRowHeight="15.75"/>
  <cols>
    <col min="1" max="1" width="5.140625" style="131" customWidth="1"/>
    <col min="2" max="2" width="46.42578125" style="131" customWidth="1"/>
    <col min="3" max="3" width="13.140625" style="131" customWidth="1"/>
    <col min="4" max="4" width="13.140625" style="102" customWidth="1"/>
    <col min="5" max="5" width="14.28515625" style="102" customWidth="1"/>
    <col min="6" max="6" width="11.28515625" style="102" customWidth="1"/>
    <col min="7" max="7" width="13.7109375" style="102" customWidth="1"/>
    <col min="8" max="8" width="15.7109375" style="102" customWidth="1"/>
    <col min="9" max="9" width="9.5703125" style="102" customWidth="1"/>
    <col min="10" max="10" width="11.42578125" style="102" customWidth="1"/>
    <col min="11" max="11" width="15" style="102" customWidth="1"/>
    <col min="12" max="12" width="14.5703125" style="102" customWidth="1"/>
    <col min="13" max="13" width="9.140625" style="102"/>
    <col min="14" max="14" width="13.140625" style="102" customWidth="1"/>
    <col min="15" max="16384" width="9.140625" style="102"/>
  </cols>
  <sheetData>
    <row r="1" spans="1:17" s="958" customFormat="1" ht="19.5">
      <c r="A1" s="1378" t="s">
        <v>1910</v>
      </c>
      <c r="B1" s="1378"/>
      <c r="C1" s="1378"/>
      <c r="D1" s="1378"/>
      <c r="E1" s="1378"/>
      <c r="F1" s="1378"/>
      <c r="G1" s="1378"/>
      <c r="H1" s="1378"/>
      <c r="I1" s="1378"/>
      <c r="J1" s="1378"/>
      <c r="K1" s="1378"/>
      <c r="L1" s="102"/>
      <c r="M1" s="102"/>
      <c r="N1" s="102"/>
      <c r="O1" s="102"/>
      <c r="P1" s="102"/>
      <c r="Q1" s="102"/>
    </row>
    <row r="2" spans="1:17" ht="19.5">
      <c r="A2" s="1378" t="s">
        <v>43</v>
      </c>
      <c r="B2" s="1378"/>
      <c r="C2" s="1378"/>
      <c r="D2" s="1378"/>
      <c r="E2" s="1378"/>
      <c r="F2" s="1378"/>
      <c r="G2" s="1378"/>
      <c r="H2" s="1378"/>
      <c r="I2" s="1378"/>
      <c r="J2" s="1378"/>
      <c r="K2" s="1378"/>
    </row>
    <row r="3" spans="1:17" s="959" customFormat="1" ht="19.5">
      <c r="A3" s="1378"/>
      <c r="B3" s="1378"/>
      <c r="C3" s="1378"/>
      <c r="D3" s="1378"/>
      <c r="E3" s="1378"/>
      <c r="F3" s="1378"/>
      <c r="G3" s="1378"/>
      <c r="H3" s="1378"/>
      <c r="I3" s="1378"/>
      <c r="J3" s="1378"/>
      <c r="K3" s="1378"/>
      <c r="L3" s="102"/>
      <c r="M3" s="102"/>
      <c r="N3" s="102"/>
      <c r="O3" s="102"/>
      <c r="P3" s="102"/>
      <c r="Q3" s="102"/>
    </row>
    <row r="4" spans="1:17" ht="19.5">
      <c r="A4" s="434" t="s">
        <v>146</v>
      </c>
      <c r="B4" s="434"/>
      <c r="C4" s="434"/>
      <c r="D4" s="432"/>
      <c r="E4" s="432"/>
      <c r="F4" s="432"/>
      <c r="G4" s="432"/>
      <c r="H4" s="432"/>
      <c r="I4" s="432"/>
      <c r="J4" s="1379" t="s">
        <v>3</v>
      </c>
      <c r="K4" s="1379"/>
    </row>
    <row r="5" spans="1:17" s="960" customFormat="1" ht="15.95" customHeight="1">
      <c r="A5" s="1135" t="s">
        <v>93</v>
      </c>
      <c r="B5" s="1135" t="s">
        <v>147</v>
      </c>
      <c r="C5" s="1135" t="s">
        <v>95</v>
      </c>
      <c r="D5" s="1135" t="s">
        <v>96</v>
      </c>
      <c r="E5" s="1135" t="s">
        <v>97</v>
      </c>
      <c r="F5" s="1136" t="s">
        <v>98</v>
      </c>
      <c r="G5" s="1137"/>
      <c r="H5" s="961" t="s">
        <v>99</v>
      </c>
      <c r="I5" s="1380" t="s">
        <v>148</v>
      </c>
      <c r="J5" s="1135" t="s">
        <v>100</v>
      </c>
      <c r="K5" s="1135" t="s">
        <v>101</v>
      </c>
    </row>
    <row r="6" spans="1:17" s="960" customFormat="1" ht="58.5">
      <c r="A6" s="1138"/>
      <c r="B6" s="1138"/>
      <c r="C6" s="1138"/>
      <c r="D6" s="1138"/>
      <c r="E6" s="1138"/>
      <c r="F6" s="961" t="s">
        <v>102</v>
      </c>
      <c r="G6" s="962" t="s">
        <v>103</v>
      </c>
      <c r="H6" s="961" t="s">
        <v>99</v>
      </c>
      <c r="I6" s="1381"/>
      <c r="J6" s="1138"/>
      <c r="K6" s="1138"/>
    </row>
    <row r="7" spans="1:17" ht="18" customHeight="1">
      <c r="A7" s="963"/>
      <c r="B7" s="963">
        <v>2</v>
      </c>
      <c r="C7" s="963">
        <v>3</v>
      </c>
      <c r="D7" s="964">
        <v>4</v>
      </c>
      <c r="E7" s="964" t="s">
        <v>149</v>
      </c>
      <c r="F7" s="964">
        <v>6</v>
      </c>
      <c r="G7" s="964">
        <v>7</v>
      </c>
      <c r="H7" s="964">
        <v>8</v>
      </c>
      <c r="I7" s="964">
        <v>9</v>
      </c>
      <c r="J7" s="964">
        <v>10</v>
      </c>
      <c r="K7" s="970" t="s">
        <v>150</v>
      </c>
    </row>
    <row r="8" spans="1:17" ht="55.5" customHeight="1">
      <c r="A8" s="1234" t="s">
        <v>151</v>
      </c>
      <c r="B8" s="1233" t="s">
        <v>152</v>
      </c>
      <c r="C8" s="110"/>
      <c r="D8" s="965"/>
      <c r="E8" s="965"/>
      <c r="F8" s="965"/>
      <c r="G8" s="965"/>
      <c r="H8" s="965"/>
      <c r="I8" s="965"/>
      <c r="J8" s="971"/>
      <c r="K8" s="1139"/>
      <c r="M8" s="972"/>
    </row>
    <row r="9" spans="1:17" ht="15.95" customHeight="1">
      <c r="A9" s="966">
        <v>1</v>
      </c>
      <c r="B9" s="1205" t="s">
        <v>1916</v>
      </c>
      <c r="C9" s="1211">
        <v>5340</v>
      </c>
      <c r="D9" s="1211"/>
      <c r="E9" s="1211">
        <f t="shared" ref="E9:E38" si="0">C9+D9</f>
        <v>5340</v>
      </c>
      <c r="F9" s="1211"/>
      <c r="G9" s="1211"/>
      <c r="H9" s="968">
        <f t="shared" ref="H9:H39" si="1">SUM(F9:G9)</f>
        <v>0</v>
      </c>
      <c r="I9" s="968"/>
      <c r="J9" s="1211"/>
      <c r="K9" s="968">
        <f t="shared" ref="K9:K39" si="2">E9-F9-G9-I9-J9</f>
        <v>5340</v>
      </c>
    </row>
    <row r="10" spans="1:17" ht="15.95" customHeight="1">
      <c r="A10" s="966">
        <v>2</v>
      </c>
      <c r="B10" s="1205" t="s">
        <v>157</v>
      </c>
      <c r="C10" s="1211">
        <v>29469</v>
      </c>
      <c r="D10" s="1211"/>
      <c r="E10" s="1211">
        <f t="shared" si="0"/>
        <v>29469</v>
      </c>
      <c r="F10" s="1211"/>
      <c r="G10" s="1211"/>
      <c r="H10" s="968">
        <f t="shared" si="1"/>
        <v>0</v>
      </c>
      <c r="I10" s="968"/>
      <c r="J10" s="1211"/>
      <c r="K10" s="968">
        <f t="shared" si="2"/>
        <v>29469</v>
      </c>
    </row>
    <row r="11" spans="1:17" ht="35.450000000000003" customHeight="1">
      <c r="A11" s="966">
        <v>3</v>
      </c>
      <c r="B11" s="1205" t="s">
        <v>158</v>
      </c>
      <c r="C11" s="1211">
        <v>931412</v>
      </c>
      <c r="D11" s="1211"/>
      <c r="E11" s="1211">
        <f t="shared" si="0"/>
        <v>931412</v>
      </c>
      <c r="F11" s="1211"/>
      <c r="G11" s="1211"/>
      <c r="H11" s="968">
        <f t="shared" si="1"/>
        <v>0</v>
      </c>
      <c r="I11" s="968"/>
      <c r="J11" s="1211"/>
      <c r="K11" s="968">
        <f t="shared" si="2"/>
        <v>931412</v>
      </c>
    </row>
    <row r="12" spans="1:17" ht="15.95" customHeight="1">
      <c r="A12" s="966">
        <v>4</v>
      </c>
      <c r="B12" s="1205" t="s">
        <v>159</v>
      </c>
      <c r="C12" s="1211">
        <v>1282906</v>
      </c>
      <c r="D12" s="1211"/>
      <c r="E12" s="1211">
        <f t="shared" si="0"/>
        <v>1282906</v>
      </c>
      <c r="F12" s="1211"/>
      <c r="G12" s="1211"/>
      <c r="H12" s="968">
        <f t="shared" si="1"/>
        <v>0</v>
      </c>
      <c r="I12" s="968"/>
      <c r="J12" s="1211"/>
      <c r="K12" s="968">
        <f t="shared" si="2"/>
        <v>1282906</v>
      </c>
    </row>
    <row r="13" spans="1:17" ht="15.95" customHeight="1">
      <c r="A13" s="966">
        <v>5</v>
      </c>
      <c r="B13" s="1205" t="s">
        <v>160</v>
      </c>
      <c r="C13" s="1211">
        <v>21880</v>
      </c>
      <c r="D13" s="1211"/>
      <c r="E13" s="1211">
        <f t="shared" si="0"/>
        <v>21880</v>
      </c>
      <c r="F13" s="1211"/>
      <c r="G13" s="1211"/>
      <c r="H13" s="968">
        <f t="shared" si="1"/>
        <v>0</v>
      </c>
      <c r="I13" s="968"/>
      <c r="J13" s="1211"/>
      <c r="K13" s="968">
        <f t="shared" si="2"/>
        <v>21880</v>
      </c>
    </row>
    <row r="14" spans="1:17" s="131" customFormat="1" ht="33" customHeight="1">
      <c r="A14" s="966">
        <v>6</v>
      </c>
      <c r="B14" s="1205" t="s">
        <v>163</v>
      </c>
      <c r="C14" s="1211">
        <v>-35710</v>
      </c>
      <c r="D14" s="1211"/>
      <c r="E14" s="1211">
        <f t="shared" si="0"/>
        <v>-35710</v>
      </c>
      <c r="F14" s="1211"/>
      <c r="G14" s="1211">
        <v>-35710</v>
      </c>
      <c r="H14" s="968">
        <f t="shared" si="1"/>
        <v>-35710</v>
      </c>
      <c r="I14" s="968"/>
      <c r="J14" s="1211"/>
      <c r="K14" s="968">
        <f t="shared" si="2"/>
        <v>0</v>
      </c>
      <c r="M14" s="973"/>
    </row>
    <row r="15" spans="1:17" s="131" customFormat="1" ht="18.75">
      <c r="A15" s="966">
        <v>7</v>
      </c>
      <c r="B15" s="1205" t="s">
        <v>165</v>
      </c>
      <c r="C15" s="1211">
        <v>9747</v>
      </c>
      <c r="D15" s="1211"/>
      <c r="E15" s="1211">
        <f t="shared" si="0"/>
        <v>9747</v>
      </c>
      <c r="F15" s="1211"/>
      <c r="G15" s="1211"/>
      <c r="H15" s="968">
        <f t="shared" si="1"/>
        <v>0</v>
      </c>
      <c r="I15" s="968"/>
      <c r="J15" s="1211">
        <v>9747</v>
      </c>
      <c r="K15" s="968">
        <f t="shared" si="2"/>
        <v>0</v>
      </c>
    </row>
    <row r="16" spans="1:17" s="131" customFormat="1" ht="18.75">
      <c r="A16" s="966">
        <v>8</v>
      </c>
      <c r="B16" s="1205" t="s">
        <v>166</v>
      </c>
      <c r="C16" s="1211">
        <v>54873</v>
      </c>
      <c r="D16" s="1211"/>
      <c r="E16" s="1211">
        <f t="shared" si="0"/>
        <v>54873</v>
      </c>
      <c r="F16" s="1211"/>
      <c r="G16" s="1211"/>
      <c r="H16" s="968">
        <f t="shared" si="1"/>
        <v>0</v>
      </c>
      <c r="I16" s="968"/>
      <c r="J16" s="1211">
        <v>54873</v>
      </c>
      <c r="K16" s="968">
        <f t="shared" si="2"/>
        <v>0</v>
      </c>
    </row>
    <row r="17" spans="1:11" ht="18.75">
      <c r="A17" s="966">
        <v>9</v>
      </c>
      <c r="B17" s="1205" t="s">
        <v>167</v>
      </c>
      <c r="C17" s="1211">
        <v>-97993</v>
      </c>
      <c r="D17" s="1211">
        <v>109095</v>
      </c>
      <c r="E17" s="1211">
        <f t="shared" si="0"/>
        <v>11102</v>
      </c>
      <c r="F17" s="1211"/>
      <c r="G17" s="1211"/>
      <c r="H17" s="968">
        <f t="shared" si="1"/>
        <v>0</v>
      </c>
      <c r="I17" s="968"/>
      <c r="J17" s="1211">
        <v>11102</v>
      </c>
      <c r="K17" s="968">
        <f t="shared" si="2"/>
        <v>0</v>
      </c>
    </row>
    <row r="18" spans="1:11" ht="18.75">
      <c r="A18" s="966">
        <v>10</v>
      </c>
      <c r="B18" s="1205" t="s">
        <v>168</v>
      </c>
      <c r="C18" s="1211">
        <v>211746</v>
      </c>
      <c r="D18" s="1211">
        <v>2541</v>
      </c>
      <c r="E18" s="1211">
        <f t="shared" si="0"/>
        <v>214287</v>
      </c>
      <c r="F18" s="1211"/>
      <c r="G18" s="1211"/>
      <c r="H18" s="968">
        <f t="shared" si="1"/>
        <v>0</v>
      </c>
      <c r="I18" s="968"/>
      <c r="J18" s="1211">
        <v>214287</v>
      </c>
      <c r="K18" s="968">
        <f t="shared" si="2"/>
        <v>0</v>
      </c>
    </row>
    <row r="19" spans="1:11" ht="18.75">
      <c r="A19" s="966">
        <v>11</v>
      </c>
      <c r="B19" s="1205" t="s">
        <v>169</v>
      </c>
      <c r="C19" s="1211">
        <v>118286</v>
      </c>
      <c r="D19" s="1211"/>
      <c r="E19" s="1211">
        <f t="shared" si="0"/>
        <v>118286</v>
      </c>
      <c r="F19" s="1211"/>
      <c r="G19" s="1211">
        <v>84171</v>
      </c>
      <c r="H19" s="968">
        <f t="shared" si="1"/>
        <v>84171</v>
      </c>
      <c r="I19" s="968"/>
      <c r="J19" s="1211">
        <v>34115</v>
      </c>
      <c r="K19" s="968">
        <f t="shared" si="2"/>
        <v>0</v>
      </c>
    </row>
    <row r="20" spans="1:11" ht="18.75">
      <c r="A20" s="966">
        <v>12</v>
      </c>
      <c r="B20" s="1205" t="s">
        <v>170</v>
      </c>
      <c r="C20" s="1211">
        <v>100104</v>
      </c>
      <c r="D20" s="1211"/>
      <c r="E20" s="1211">
        <f t="shared" si="0"/>
        <v>100104</v>
      </c>
      <c r="F20" s="1211"/>
      <c r="G20" s="1211"/>
      <c r="H20" s="968">
        <f t="shared" si="1"/>
        <v>0</v>
      </c>
      <c r="I20" s="968"/>
      <c r="J20" s="1211">
        <v>100104</v>
      </c>
      <c r="K20" s="968">
        <f t="shared" si="2"/>
        <v>0</v>
      </c>
    </row>
    <row r="21" spans="1:11" ht="37.5">
      <c r="A21" s="966">
        <v>13</v>
      </c>
      <c r="B21" s="1205" t="s">
        <v>171</v>
      </c>
      <c r="C21" s="1211">
        <v>686958</v>
      </c>
      <c r="D21" s="1211"/>
      <c r="E21" s="1211">
        <f t="shared" si="0"/>
        <v>686958</v>
      </c>
      <c r="F21" s="1211">
        <v>37760</v>
      </c>
      <c r="G21" s="1211">
        <v>224618</v>
      </c>
      <c r="H21" s="968">
        <f t="shared" si="1"/>
        <v>262378</v>
      </c>
      <c r="I21" s="968"/>
      <c r="J21" s="1211">
        <v>424580</v>
      </c>
      <c r="K21" s="968">
        <f t="shared" si="2"/>
        <v>0</v>
      </c>
    </row>
    <row r="22" spans="1:11" ht="18.75">
      <c r="A22" s="966">
        <v>14</v>
      </c>
      <c r="B22" s="1205" t="s">
        <v>172</v>
      </c>
      <c r="C22" s="1211">
        <v>1228163</v>
      </c>
      <c r="D22" s="1211"/>
      <c r="E22" s="1211">
        <f t="shared" si="0"/>
        <v>1228163</v>
      </c>
      <c r="F22" s="1211">
        <v>19857</v>
      </c>
      <c r="G22" s="1211">
        <v>538230</v>
      </c>
      <c r="H22" s="968">
        <f t="shared" si="1"/>
        <v>558087</v>
      </c>
      <c r="I22" s="968"/>
      <c r="J22" s="1211">
        <v>670076</v>
      </c>
      <c r="K22" s="968">
        <f t="shared" si="2"/>
        <v>0</v>
      </c>
    </row>
    <row r="23" spans="1:11" ht="18.75">
      <c r="A23" s="966">
        <v>15</v>
      </c>
      <c r="B23" s="1205" t="s">
        <v>173</v>
      </c>
      <c r="C23" s="1211">
        <v>128659</v>
      </c>
      <c r="D23" s="1211">
        <v>996939</v>
      </c>
      <c r="E23" s="1211">
        <f t="shared" si="0"/>
        <v>1125598</v>
      </c>
      <c r="F23" s="1211"/>
      <c r="G23" s="1211">
        <v>1010870</v>
      </c>
      <c r="H23" s="968">
        <f t="shared" si="1"/>
        <v>1010870</v>
      </c>
      <c r="I23" s="968"/>
      <c r="K23" s="968">
        <f t="shared" si="2"/>
        <v>114728</v>
      </c>
    </row>
    <row r="24" spans="1:11" ht="37.5">
      <c r="A24" s="966">
        <v>16</v>
      </c>
      <c r="B24" s="1205" t="s">
        <v>174</v>
      </c>
      <c r="C24" s="1211">
        <v>2178253</v>
      </c>
      <c r="D24" s="1211">
        <v>2625497</v>
      </c>
      <c r="E24" s="1211">
        <f t="shared" si="0"/>
        <v>4803750</v>
      </c>
      <c r="F24" s="1211">
        <v>96753</v>
      </c>
      <c r="G24" s="1211">
        <v>880708</v>
      </c>
      <c r="H24" s="968">
        <f t="shared" si="1"/>
        <v>977461</v>
      </c>
      <c r="I24" s="968"/>
      <c r="K24" s="968">
        <f t="shared" si="2"/>
        <v>3826289</v>
      </c>
    </row>
    <row r="25" spans="1:11" ht="18.75">
      <c r="A25" s="966">
        <v>17</v>
      </c>
      <c r="B25" s="1205" t="s">
        <v>175</v>
      </c>
      <c r="C25" s="1211">
        <v>241047</v>
      </c>
      <c r="D25" s="1211"/>
      <c r="E25" s="1211">
        <f t="shared" si="0"/>
        <v>241047</v>
      </c>
      <c r="F25" s="1211"/>
      <c r="G25" s="1211">
        <v>238825</v>
      </c>
      <c r="H25" s="968">
        <f t="shared" si="1"/>
        <v>238825</v>
      </c>
      <c r="I25" s="968"/>
      <c r="K25" s="968">
        <f t="shared" si="2"/>
        <v>2222</v>
      </c>
    </row>
    <row r="26" spans="1:11" ht="18.75">
      <c r="A26" s="966">
        <v>18</v>
      </c>
      <c r="B26" s="1205" t="s">
        <v>176</v>
      </c>
      <c r="C26" s="1211">
        <v>24469</v>
      </c>
      <c r="D26" s="1211"/>
      <c r="E26" s="1211">
        <f t="shared" si="0"/>
        <v>24469</v>
      </c>
      <c r="F26" s="1211"/>
      <c r="G26" s="1211"/>
      <c r="H26" s="968">
        <f t="shared" si="1"/>
        <v>0</v>
      </c>
      <c r="I26" s="968"/>
      <c r="J26" s="102">
        <v>24469</v>
      </c>
      <c r="K26" s="968">
        <f t="shared" si="2"/>
        <v>0</v>
      </c>
    </row>
    <row r="27" spans="1:11" ht="18.75">
      <c r="A27" s="966">
        <v>19</v>
      </c>
      <c r="B27" s="1205" t="s">
        <v>177</v>
      </c>
      <c r="C27" s="1211">
        <v>1032272</v>
      </c>
      <c r="D27" s="1211">
        <v>15472</v>
      </c>
      <c r="E27" s="1211">
        <f t="shared" si="0"/>
        <v>1047744</v>
      </c>
      <c r="F27" s="1211"/>
      <c r="G27" s="1211">
        <v>594538</v>
      </c>
      <c r="H27" s="968">
        <f t="shared" si="1"/>
        <v>594538</v>
      </c>
      <c r="I27" s="968"/>
      <c r="J27" s="1211">
        <v>15472</v>
      </c>
      <c r="K27" s="968">
        <f t="shared" si="2"/>
        <v>437734</v>
      </c>
    </row>
    <row r="28" spans="1:11" ht="75">
      <c r="A28" s="966">
        <v>20</v>
      </c>
      <c r="B28" s="1205" t="s">
        <v>179</v>
      </c>
      <c r="C28" s="1211">
        <v>2495940</v>
      </c>
      <c r="D28" s="1211"/>
      <c r="E28" s="1211">
        <f t="shared" si="0"/>
        <v>2495940</v>
      </c>
      <c r="F28" s="1211">
        <v>330662</v>
      </c>
      <c r="G28" s="1211">
        <v>939096</v>
      </c>
      <c r="H28" s="968">
        <f t="shared" si="1"/>
        <v>1269758</v>
      </c>
      <c r="I28" s="968"/>
      <c r="K28" s="968">
        <f t="shared" si="2"/>
        <v>1226182</v>
      </c>
    </row>
    <row r="29" spans="1:11" ht="36">
      <c r="A29" s="966">
        <v>21</v>
      </c>
      <c r="B29" s="1207" t="s">
        <v>180</v>
      </c>
      <c r="C29" s="1211">
        <v>6680</v>
      </c>
      <c r="D29" s="1211"/>
      <c r="E29" s="1211">
        <f t="shared" si="0"/>
        <v>6680</v>
      </c>
      <c r="F29" s="1211"/>
      <c r="G29" s="1211"/>
      <c r="H29" s="968">
        <f t="shared" si="1"/>
        <v>0</v>
      </c>
      <c r="I29" s="968"/>
      <c r="K29" s="968">
        <f t="shared" si="2"/>
        <v>6680</v>
      </c>
    </row>
    <row r="30" spans="1:11" ht="18.75">
      <c r="A30" s="966">
        <v>22</v>
      </c>
      <c r="B30" s="1205" t="s">
        <v>184</v>
      </c>
      <c r="C30" s="1211">
        <v>32476</v>
      </c>
      <c r="D30" s="1211"/>
      <c r="E30" s="1211">
        <f t="shared" si="0"/>
        <v>32476</v>
      </c>
      <c r="F30" s="1211"/>
      <c r="G30" s="1211"/>
      <c r="H30" s="968">
        <f t="shared" si="1"/>
        <v>0</v>
      </c>
      <c r="I30" s="968"/>
      <c r="J30" s="1211"/>
      <c r="K30" s="968">
        <f t="shared" si="2"/>
        <v>32476</v>
      </c>
    </row>
    <row r="31" spans="1:11" ht="18.75">
      <c r="A31" s="966">
        <v>23</v>
      </c>
      <c r="B31" s="1205" t="s">
        <v>185</v>
      </c>
      <c r="C31" s="1211">
        <v>5500</v>
      </c>
      <c r="D31" s="1211"/>
      <c r="E31" s="1211">
        <f t="shared" si="0"/>
        <v>5500</v>
      </c>
      <c r="F31" s="1211"/>
      <c r="G31" s="1211"/>
      <c r="H31" s="968">
        <f t="shared" si="1"/>
        <v>0</v>
      </c>
      <c r="I31" s="968"/>
      <c r="J31" s="1211"/>
      <c r="K31" s="968">
        <f t="shared" si="2"/>
        <v>5500</v>
      </c>
    </row>
    <row r="32" spans="1:11" ht="18.75">
      <c r="A32" s="966">
        <v>24</v>
      </c>
      <c r="B32" s="1141" t="s">
        <v>187</v>
      </c>
      <c r="C32" s="1211">
        <v>33</v>
      </c>
      <c r="D32" s="1211"/>
      <c r="E32" s="1211">
        <f t="shared" si="0"/>
        <v>33</v>
      </c>
      <c r="F32" s="1211"/>
      <c r="G32" s="1211"/>
      <c r="H32" s="968">
        <f t="shared" si="1"/>
        <v>0</v>
      </c>
      <c r="I32" s="968"/>
      <c r="J32" s="1211"/>
      <c r="K32" s="968">
        <f t="shared" si="2"/>
        <v>33</v>
      </c>
    </row>
    <row r="33" spans="1:12" ht="18.75">
      <c r="A33" s="966">
        <v>25</v>
      </c>
      <c r="B33" s="1207" t="s">
        <v>369</v>
      </c>
      <c r="C33" s="1211"/>
      <c r="D33" s="1211">
        <v>910000</v>
      </c>
      <c r="E33" s="1211">
        <f t="shared" si="0"/>
        <v>910000</v>
      </c>
      <c r="F33" s="1211">
        <v>46555</v>
      </c>
      <c r="G33" s="1211">
        <v>662507</v>
      </c>
      <c r="H33" s="968">
        <f t="shared" si="1"/>
        <v>709062</v>
      </c>
      <c r="I33" s="968"/>
      <c r="J33" s="1211">
        <v>0</v>
      </c>
      <c r="K33" s="968">
        <f t="shared" si="2"/>
        <v>200938</v>
      </c>
    </row>
    <row r="34" spans="1:12" ht="36">
      <c r="A34" s="966">
        <v>26</v>
      </c>
      <c r="B34" s="1207" t="s">
        <v>371</v>
      </c>
      <c r="C34" s="1211"/>
      <c r="D34" s="1211">
        <v>3470000</v>
      </c>
      <c r="E34" s="1211">
        <f t="shared" si="0"/>
        <v>3470000</v>
      </c>
      <c r="F34" s="1211">
        <v>362700</v>
      </c>
      <c r="G34" s="1211">
        <v>1964126</v>
      </c>
      <c r="H34" s="968">
        <f t="shared" si="1"/>
        <v>2326826</v>
      </c>
      <c r="I34" s="968"/>
      <c r="K34" s="968">
        <f t="shared" si="2"/>
        <v>1143174</v>
      </c>
    </row>
    <row r="35" spans="1:12" ht="18.75">
      <c r="A35" s="966">
        <v>27</v>
      </c>
      <c r="B35" s="1207" t="s">
        <v>372</v>
      </c>
      <c r="C35" s="1211"/>
      <c r="D35" s="1211">
        <v>494250</v>
      </c>
      <c r="E35" s="1211">
        <f t="shared" si="0"/>
        <v>494250</v>
      </c>
      <c r="F35" s="1211">
        <v>74302</v>
      </c>
      <c r="G35" s="1211">
        <v>394690</v>
      </c>
      <c r="H35" s="968">
        <f t="shared" si="1"/>
        <v>468992</v>
      </c>
      <c r="I35" s="968"/>
      <c r="J35" s="1211"/>
      <c r="K35" s="968">
        <f t="shared" si="2"/>
        <v>25258</v>
      </c>
    </row>
    <row r="36" spans="1:12" ht="18.75">
      <c r="A36" s="966">
        <v>28</v>
      </c>
      <c r="B36" s="1207" t="s">
        <v>373</v>
      </c>
      <c r="C36" s="1211"/>
      <c r="D36" s="1211">
        <v>1061539</v>
      </c>
      <c r="E36" s="1211">
        <f t="shared" si="0"/>
        <v>1061539</v>
      </c>
      <c r="F36" s="1211">
        <v>197356</v>
      </c>
      <c r="G36" s="1211">
        <v>808673</v>
      </c>
      <c r="H36" s="968">
        <f t="shared" si="1"/>
        <v>1006029</v>
      </c>
      <c r="I36" s="968"/>
      <c r="J36" s="1211"/>
      <c r="K36" s="968">
        <f t="shared" si="2"/>
        <v>55510</v>
      </c>
    </row>
    <row r="37" spans="1:12" ht="18.75">
      <c r="A37" s="966">
        <v>29</v>
      </c>
      <c r="B37" s="1207" t="s">
        <v>374</v>
      </c>
      <c r="C37" s="1211"/>
      <c r="D37" s="1211">
        <v>1677500</v>
      </c>
      <c r="E37" s="1211">
        <f t="shared" si="0"/>
        <v>1677500</v>
      </c>
      <c r="F37" s="1211"/>
      <c r="G37" s="1211">
        <v>213422</v>
      </c>
      <c r="H37" s="968">
        <f t="shared" si="1"/>
        <v>213422</v>
      </c>
      <c r="I37" s="968"/>
      <c r="K37" s="968">
        <f t="shared" si="2"/>
        <v>1464078</v>
      </c>
    </row>
    <row r="38" spans="1:12" ht="18.75">
      <c r="A38" s="966">
        <v>30</v>
      </c>
      <c r="B38" s="1207" t="s">
        <v>375</v>
      </c>
      <c r="C38" s="1211"/>
      <c r="D38" s="1211">
        <v>879900</v>
      </c>
      <c r="E38" s="1211">
        <f t="shared" si="0"/>
        <v>879900</v>
      </c>
      <c r="F38" s="1211"/>
      <c r="G38" s="1211">
        <v>371186</v>
      </c>
      <c r="H38" s="968">
        <f t="shared" si="1"/>
        <v>371186</v>
      </c>
      <c r="I38" s="968"/>
      <c r="J38" s="1211"/>
      <c r="K38" s="968">
        <f t="shared" si="2"/>
        <v>508714</v>
      </c>
    </row>
    <row r="39" spans="1:12" ht="23.25">
      <c r="A39" s="966">
        <v>31</v>
      </c>
      <c r="B39" s="988" t="s">
        <v>1926</v>
      </c>
      <c r="C39" s="968">
        <v>0</v>
      </c>
      <c r="D39" s="968">
        <v>3521476</v>
      </c>
      <c r="E39" s="968">
        <f>SUM(C39:D39)</f>
        <v>3521476</v>
      </c>
      <c r="F39" s="968"/>
      <c r="G39" s="968">
        <v>1565150</v>
      </c>
      <c r="H39" s="968">
        <f t="shared" si="1"/>
        <v>1565150</v>
      </c>
      <c r="I39" s="968"/>
      <c r="J39" s="1211"/>
      <c r="K39" s="968">
        <f t="shared" si="2"/>
        <v>1956326</v>
      </c>
    </row>
    <row r="40" spans="1:12" s="1227" customFormat="1" ht="37.5" customHeight="1">
      <c r="A40" s="966"/>
      <c r="B40" s="1206" t="s">
        <v>1925</v>
      </c>
      <c r="C40" s="1222">
        <f t="shared" ref="C40:K40" si="3">SUM(C9:C39)</f>
        <v>10692510</v>
      </c>
      <c r="D40" s="1222">
        <f t="shared" si="3"/>
        <v>15764209</v>
      </c>
      <c r="E40" s="1222">
        <f t="shared" si="3"/>
        <v>26456719</v>
      </c>
      <c r="F40" s="1222">
        <f t="shared" si="3"/>
        <v>1165945</v>
      </c>
      <c r="G40" s="1222">
        <f t="shared" si="3"/>
        <v>10455100</v>
      </c>
      <c r="H40" s="1222">
        <f t="shared" si="3"/>
        <v>11621045</v>
      </c>
      <c r="I40" s="1222">
        <f t="shared" si="3"/>
        <v>0</v>
      </c>
      <c r="J40" s="1222">
        <f t="shared" si="3"/>
        <v>1558825</v>
      </c>
      <c r="K40" s="1222">
        <f t="shared" si="3"/>
        <v>13276849</v>
      </c>
      <c r="L40" s="1227">
        <v>13276849</v>
      </c>
    </row>
    <row r="41" spans="1:12" ht="46.5">
      <c r="A41" s="1235" t="s">
        <v>595</v>
      </c>
      <c r="B41" s="1224" t="s">
        <v>1924</v>
      </c>
      <c r="C41" s="990"/>
      <c r="D41" s="990"/>
      <c r="E41" s="1225"/>
      <c r="F41" s="990"/>
      <c r="G41" s="990"/>
      <c r="H41" s="1226"/>
      <c r="I41" s="1226"/>
      <c r="J41" s="990"/>
      <c r="K41" s="1226"/>
    </row>
    <row r="42" spans="1:12" ht="36">
      <c r="A42" s="966">
        <v>1</v>
      </c>
      <c r="B42" s="1207" t="s">
        <v>205</v>
      </c>
      <c r="C42" s="1211">
        <v>1588</v>
      </c>
      <c r="D42" s="1211"/>
      <c r="E42" s="1211">
        <f t="shared" ref="E42" si="4">C42+D42</f>
        <v>1588</v>
      </c>
      <c r="F42" s="968"/>
      <c r="G42" s="1211"/>
      <c r="H42" s="968">
        <f t="shared" ref="H42:H69" si="5">SUM(F42:G42)</f>
        <v>0</v>
      </c>
      <c r="I42" s="968"/>
      <c r="J42" s="968"/>
      <c r="K42" s="968">
        <f t="shared" ref="K42:K69" si="6">E42-F42-G42-I42-J42</f>
        <v>1588</v>
      </c>
    </row>
    <row r="43" spans="1:12" ht="37.5">
      <c r="A43" s="966">
        <v>2</v>
      </c>
      <c r="B43" s="1205" t="s">
        <v>1920</v>
      </c>
      <c r="C43" s="1211">
        <v>527246</v>
      </c>
      <c r="D43" s="1211"/>
      <c r="E43" s="1211">
        <f>C43+D43</f>
        <v>527246</v>
      </c>
      <c r="F43" s="968"/>
      <c r="G43" s="1211"/>
      <c r="H43" s="968">
        <f t="shared" si="5"/>
        <v>0</v>
      </c>
      <c r="I43" s="968"/>
      <c r="J43" s="968"/>
      <c r="K43" s="968">
        <f t="shared" si="6"/>
        <v>527246</v>
      </c>
    </row>
    <row r="44" spans="1:12" ht="18.75">
      <c r="A44" s="966">
        <v>3</v>
      </c>
      <c r="B44" s="1205" t="s">
        <v>206</v>
      </c>
      <c r="C44" s="1211">
        <v>310400</v>
      </c>
      <c r="D44" s="1211"/>
      <c r="E44" s="1211">
        <f t="shared" ref="E44:E245" si="7">C44+D44</f>
        <v>310400</v>
      </c>
      <c r="F44" s="968"/>
      <c r="G44" s="1211"/>
      <c r="H44" s="968">
        <f t="shared" si="5"/>
        <v>0</v>
      </c>
      <c r="I44" s="968"/>
      <c r="J44" s="968"/>
      <c r="K44" s="968">
        <f t="shared" si="6"/>
        <v>310400</v>
      </c>
    </row>
    <row r="45" spans="1:12" ht="37.5">
      <c r="A45" s="966">
        <v>4</v>
      </c>
      <c r="B45" s="1205" t="s">
        <v>207</v>
      </c>
      <c r="C45" s="1211">
        <v>161250</v>
      </c>
      <c r="D45" s="1211"/>
      <c r="E45" s="1211">
        <f t="shared" si="7"/>
        <v>161250</v>
      </c>
      <c r="F45" s="968"/>
      <c r="G45" s="1211"/>
      <c r="H45" s="968">
        <f t="shared" si="5"/>
        <v>0</v>
      </c>
      <c r="I45" s="968"/>
      <c r="J45" s="968"/>
      <c r="K45" s="968">
        <f t="shared" si="6"/>
        <v>161250</v>
      </c>
    </row>
    <row r="46" spans="1:12" ht="18.75">
      <c r="A46" s="966">
        <v>5</v>
      </c>
      <c r="B46" s="1205" t="s">
        <v>208</v>
      </c>
      <c r="C46" s="1211">
        <v>99650</v>
      </c>
      <c r="D46" s="1211"/>
      <c r="E46" s="1211">
        <f t="shared" si="7"/>
        <v>99650</v>
      </c>
      <c r="F46" s="968"/>
      <c r="G46" s="1211"/>
      <c r="H46" s="968">
        <f t="shared" si="5"/>
        <v>0</v>
      </c>
      <c r="I46" s="968"/>
      <c r="J46" s="968"/>
      <c r="K46" s="968">
        <f t="shared" si="6"/>
        <v>99650</v>
      </c>
    </row>
    <row r="47" spans="1:12" ht="18.75">
      <c r="A47" s="966">
        <v>6</v>
      </c>
      <c r="B47" s="1205" t="s">
        <v>209</v>
      </c>
      <c r="C47" s="1211">
        <v>795804</v>
      </c>
      <c r="D47" s="1211"/>
      <c r="E47" s="1211">
        <f t="shared" si="7"/>
        <v>795804</v>
      </c>
      <c r="F47" s="968"/>
      <c r="G47" s="1211"/>
      <c r="H47" s="968">
        <f t="shared" si="5"/>
        <v>0</v>
      </c>
      <c r="I47" s="968"/>
      <c r="J47" s="968"/>
      <c r="K47" s="968">
        <f t="shared" si="6"/>
        <v>795804</v>
      </c>
    </row>
    <row r="48" spans="1:12" ht="37.5">
      <c r="A48" s="966">
        <v>7</v>
      </c>
      <c r="B48" s="1205" t="s">
        <v>210</v>
      </c>
      <c r="C48" s="1211">
        <v>215750</v>
      </c>
      <c r="D48" s="1211"/>
      <c r="E48" s="1211">
        <f t="shared" si="7"/>
        <v>215750</v>
      </c>
      <c r="F48" s="968"/>
      <c r="G48" s="1211"/>
      <c r="H48" s="968">
        <f t="shared" si="5"/>
        <v>0</v>
      </c>
      <c r="I48" s="968"/>
      <c r="J48" s="968"/>
      <c r="K48" s="968">
        <f t="shared" si="6"/>
        <v>215750</v>
      </c>
    </row>
    <row r="49" spans="1:11" ht="37.5">
      <c r="A49" s="966">
        <v>8</v>
      </c>
      <c r="B49" s="1205" t="s">
        <v>211</v>
      </c>
      <c r="C49" s="1211">
        <v>71075</v>
      </c>
      <c r="D49" s="1211"/>
      <c r="E49" s="1211">
        <f t="shared" si="7"/>
        <v>71075</v>
      </c>
      <c r="F49" s="968"/>
      <c r="G49" s="1211"/>
      <c r="H49" s="968">
        <f t="shared" si="5"/>
        <v>0</v>
      </c>
      <c r="I49" s="968"/>
      <c r="J49" s="968"/>
      <c r="K49" s="968">
        <f t="shared" si="6"/>
        <v>71075</v>
      </c>
    </row>
    <row r="50" spans="1:11" ht="37.5">
      <c r="A50" s="966">
        <v>9</v>
      </c>
      <c r="B50" s="1205" t="s">
        <v>212</v>
      </c>
      <c r="C50" s="1211">
        <v>25000</v>
      </c>
      <c r="D50" s="1211"/>
      <c r="E50" s="1211">
        <f t="shared" si="7"/>
        <v>25000</v>
      </c>
      <c r="F50" s="968"/>
      <c r="G50" s="1211"/>
      <c r="H50" s="968">
        <f t="shared" si="5"/>
        <v>0</v>
      </c>
      <c r="I50" s="968"/>
      <c r="J50" s="968"/>
      <c r="K50" s="968">
        <f t="shared" si="6"/>
        <v>25000</v>
      </c>
    </row>
    <row r="51" spans="1:11" ht="18.75">
      <c r="A51" s="966">
        <v>10</v>
      </c>
      <c r="B51" s="1205" t="s">
        <v>213</v>
      </c>
      <c r="C51" s="1211">
        <v>57200</v>
      </c>
      <c r="D51" s="1211"/>
      <c r="E51" s="1211">
        <f t="shared" si="7"/>
        <v>57200</v>
      </c>
      <c r="F51" s="968"/>
      <c r="G51" s="1211"/>
      <c r="H51" s="968">
        <f t="shared" si="5"/>
        <v>0</v>
      </c>
      <c r="I51" s="968"/>
      <c r="J51" s="968"/>
      <c r="K51" s="968">
        <f t="shared" si="6"/>
        <v>57200</v>
      </c>
    </row>
    <row r="52" spans="1:11" ht="37.5">
      <c r="A52" s="966">
        <v>11</v>
      </c>
      <c r="B52" s="1205" t="s">
        <v>214</v>
      </c>
      <c r="C52" s="1211">
        <v>18225</v>
      </c>
      <c r="D52" s="1211"/>
      <c r="E52" s="1211">
        <f t="shared" si="7"/>
        <v>18225</v>
      </c>
      <c r="F52" s="968"/>
      <c r="G52" s="1211"/>
      <c r="H52" s="968">
        <f t="shared" si="5"/>
        <v>0</v>
      </c>
      <c r="I52" s="968"/>
      <c r="J52" s="968"/>
      <c r="K52" s="968">
        <f t="shared" si="6"/>
        <v>18225</v>
      </c>
    </row>
    <row r="53" spans="1:11" ht="37.5">
      <c r="A53" s="966">
        <v>12</v>
      </c>
      <c r="B53" s="1205" t="s">
        <v>215</v>
      </c>
      <c r="C53" s="1211">
        <v>19800</v>
      </c>
      <c r="D53" s="1211"/>
      <c r="E53" s="1211">
        <f t="shared" si="7"/>
        <v>19800</v>
      </c>
      <c r="F53" s="968"/>
      <c r="G53" s="1211"/>
      <c r="H53" s="968">
        <f t="shared" si="5"/>
        <v>0</v>
      </c>
      <c r="I53" s="968"/>
      <c r="J53" s="968"/>
      <c r="K53" s="968">
        <f t="shared" si="6"/>
        <v>19800</v>
      </c>
    </row>
    <row r="54" spans="1:11" ht="18.75">
      <c r="A54" s="966">
        <v>13</v>
      </c>
      <c r="B54" s="1205" t="s">
        <v>216</v>
      </c>
      <c r="C54" s="1211">
        <v>76060</v>
      </c>
      <c r="D54" s="1211"/>
      <c r="E54" s="1211">
        <f t="shared" si="7"/>
        <v>76060</v>
      </c>
      <c r="F54" s="968"/>
      <c r="G54" s="1211"/>
      <c r="H54" s="968">
        <f t="shared" si="5"/>
        <v>0</v>
      </c>
      <c r="I54" s="968"/>
      <c r="J54" s="968"/>
      <c r="K54" s="968">
        <f t="shared" si="6"/>
        <v>76060</v>
      </c>
    </row>
    <row r="55" spans="1:11" ht="56.25">
      <c r="A55" s="966">
        <v>14</v>
      </c>
      <c r="B55" s="1205" t="s">
        <v>217</v>
      </c>
      <c r="C55" s="1211">
        <v>20000</v>
      </c>
      <c r="D55" s="1211"/>
      <c r="E55" s="1211">
        <f t="shared" si="7"/>
        <v>20000</v>
      </c>
      <c r="F55" s="968"/>
      <c r="G55" s="1211"/>
      <c r="H55" s="968">
        <f t="shared" si="5"/>
        <v>0</v>
      </c>
      <c r="I55" s="968"/>
      <c r="J55" s="968"/>
      <c r="K55" s="968">
        <f t="shared" si="6"/>
        <v>20000</v>
      </c>
    </row>
    <row r="56" spans="1:11" ht="18.75">
      <c r="A56" s="966">
        <v>15</v>
      </c>
      <c r="B56" s="1205" t="s">
        <v>218</v>
      </c>
      <c r="C56" s="1211">
        <v>401080</v>
      </c>
      <c r="D56" s="1211"/>
      <c r="E56" s="1211">
        <f t="shared" si="7"/>
        <v>401080</v>
      </c>
      <c r="F56" s="968"/>
      <c r="G56" s="1211"/>
      <c r="H56" s="968">
        <f t="shared" si="5"/>
        <v>0</v>
      </c>
      <c r="I56" s="968"/>
      <c r="J56" s="968"/>
      <c r="K56" s="968">
        <f t="shared" si="6"/>
        <v>401080</v>
      </c>
    </row>
    <row r="57" spans="1:11" ht="18.75">
      <c r="A57" s="966">
        <v>16</v>
      </c>
      <c r="B57" s="1205" t="s">
        <v>219</v>
      </c>
      <c r="C57" s="1211">
        <v>67690</v>
      </c>
      <c r="D57" s="1211"/>
      <c r="E57" s="1211">
        <f t="shared" si="7"/>
        <v>67690</v>
      </c>
      <c r="F57" s="968"/>
      <c r="G57" s="1211"/>
      <c r="H57" s="968">
        <f t="shared" si="5"/>
        <v>0</v>
      </c>
      <c r="I57" s="968"/>
      <c r="J57" s="968"/>
      <c r="K57" s="968">
        <f t="shared" si="6"/>
        <v>67690</v>
      </c>
    </row>
    <row r="58" spans="1:11" ht="18.75">
      <c r="A58" s="966">
        <v>17</v>
      </c>
      <c r="B58" s="1205" t="s">
        <v>220</v>
      </c>
      <c r="C58" s="1211">
        <v>91450</v>
      </c>
      <c r="D58" s="1211"/>
      <c r="E58" s="1211">
        <f t="shared" si="7"/>
        <v>91450</v>
      </c>
      <c r="F58" s="968"/>
      <c r="G58" s="1211"/>
      <c r="H58" s="968">
        <f t="shared" si="5"/>
        <v>0</v>
      </c>
      <c r="I58" s="968"/>
      <c r="J58" s="968"/>
      <c r="K58" s="968">
        <f t="shared" si="6"/>
        <v>91450</v>
      </c>
    </row>
    <row r="59" spans="1:11" ht="18.75">
      <c r="A59" s="966">
        <v>18</v>
      </c>
      <c r="B59" s="1205" t="s">
        <v>221</v>
      </c>
      <c r="C59" s="1211">
        <v>10000</v>
      </c>
      <c r="D59" s="1211"/>
      <c r="E59" s="1211">
        <f t="shared" si="7"/>
        <v>10000</v>
      </c>
      <c r="F59" s="968"/>
      <c r="G59" s="1211"/>
      <c r="H59" s="968">
        <f t="shared" si="5"/>
        <v>0</v>
      </c>
      <c r="I59" s="968"/>
      <c r="J59" s="968"/>
      <c r="K59" s="968">
        <f t="shared" si="6"/>
        <v>10000</v>
      </c>
    </row>
    <row r="60" spans="1:11" ht="18.75">
      <c r="A60" s="966">
        <v>19</v>
      </c>
      <c r="B60" s="1205" t="s">
        <v>222</v>
      </c>
      <c r="C60" s="1211">
        <v>122780</v>
      </c>
      <c r="D60" s="1211"/>
      <c r="E60" s="1211">
        <f t="shared" si="7"/>
        <v>122780</v>
      </c>
      <c r="F60" s="968"/>
      <c r="G60" s="1211"/>
      <c r="H60" s="968">
        <f t="shared" si="5"/>
        <v>0</v>
      </c>
      <c r="I60" s="968"/>
      <c r="J60" s="968"/>
      <c r="K60" s="968">
        <f t="shared" si="6"/>
        <v>122780</v>
      </c>
    </row>
    <row r="61" spans="1:11" ht="37.5">
      <c r="A61" s="966">
        <v>20</v>
      </c>
      <c r="B61" s="1205" t="s">
        <v>223</v>
      </c>
      <c r="C61" s="1211">
        <v>305828</v>
      </c>
      <c r="D61" s="1211"/>
      <c r="E61" s="1211">
        <f t="shared" si="7"/>
        <v>305828</v>
      </c>
      <c r="F61" s="968"/>
      <c r="G61" s="1211"/>
      <c r="H61" s="968">
        <f t="shared" si="5"/>
        <v>0</v>
      </c>
      <c r="I61" s="968"/>
      <c r="J61" s="968"/>
      <c r="K61" s="968">
        <f t="shared" si="6"/>
        <v>305828</v>
      </c>
    </row>
    <row r="62" spans="1:11" ht="37.5">
      <c r="A62" s="966">
        <v>21</v>
      </c>
      <c r="B62" s="1205" t="s">
        <v>224</v>
      </c>
      <c r="C62" s="1211">
        <v>46186</v>
      </c>
      <c r="D62" s="1211"/>
      <c r="E62" s="1211">
        <f t="shared" si="7"/>
        <v>46186</v>
      </c>
      <c r="F62" s="968"/>
      <c r="G62" s="1211"/>
      <c r="H62" s="968">
        <f t="shared" si="5"/>
        <v>0</v>
      </c>
      <c r="I62" s="968"/>
      <c r="J62" s="968"/>
      <c r="K62" s="968">
        <f t="shared" si="6"/>
        <v>46186</v>
      </c>
    </row>
    <row r="63" spans="1:11" ht="37.5">
      <c r="A63" s="966">
        <v>22</v>
      </c>
      <c r="B63" s="1205" t="s">
        <v>225</v>
      </c>
      <c r="C63" s="1211">
        <v>335190</v>
      </c>
      <c r="D63" s="1211"/>
      <c r="E63" s="1211">
        <f t="shared" si="7"/>
        <v>335190</v>
      </c>
      <c r="F63" s="968"/>
      <c r="G63" s="1211"/>
      <c r="H63" s="968">
        <f t="shared" si="5"/>
        <v>0</v>
      </c>
      <c r="I63" s="968"/>
      <c r="J63" s="968"/>
      <c r="K63" s="968">
        <f t="shared" si="6"/>
        <v>335190</v>
      </c>
    </row>
    <row r="64" spans="1:11" ht="18.75">
      <c r="A64" s="966">
        <v>23</v>
      </c>
      <c r="B64" s="1205" t="s">
        <v>226</v>
      </c>
      <c r="C64" s="1211">
        <v>97458</v>
      </c>
      <c r="D64" s="1211"/>
      <c r="E64" s="1211">
        <f t="shared" si="7"/>
        <v>97458</v>
      </c>
      <c r="F64" s="968"/>
      <c r="G64" s="1211"/>
      <c r="H64" s="968">
        <f t="shared" si="5"/>
        <v>0</v>
      </c>
      <c r="I64" s="968"/>
      <c r="J64" s="968"/>
      <c r="K64" s="968">
        <f t="shared" si="6"/>
        <v>97458</v>
      </c>
    </row>
    <row r="65" spans="1:11" ht="37.5">
      <c r="A65" s="966">
        <v>24</v>
      </c>
      <c r="B65" s="1205" t="s">
        <v>227</v>
      </c>
      <c r="C65" s="1211">
        <v>59635</v>
      </c>
      <c r="D65" s="1211"/>
      <c r="E65" s="1211">
        <f t="shared" si="7"/>
        <v>59635</v>
      </c>
      <c r="F65" s="968"/>
      <c r="G65" s="1211"/>
      <c r="H65" s="968">
        <f t="shared" si="5"/>
        <v>0</v>
      </c>
      <c r="I65" s="968"/>
      <c r="J65" s="968"/>
      <c r="K65" s="968">
        <f t="shared" si="6"/>
        <v>59635</v>
      </c>
    </row>
    <row r="66" spans="1:11" ht="18.75">
      <c r="A66" s="966">
        <v>25</v>
      </c>
      <c r="B66" s="1212" t="s">
        <v>228</v>
      </c>
      <c r="C66" s="1211">
        <v>20</v>
      </c>
      <c r="D66" s="1211"/>
      <c r="E66" s="1211">
        <f t="shared" si="7"/>
        <v>20</v>
      </c>
      <c r="F66" s="968"/>
      <c r="G66" s="1211"/>
      <c r="H66" s="968">
        <f t="shared" si="5"/>
        <v>0</v>
      </c>
      <c r="I66" s="968"/>
      <c r="J66" s="968"/>
      <c r="K66" s="968">
        <f t="shared" si="6"/>
        <v>20</v>
      </c>
    </row>
    <row r="67" spans="1:11" ht="72">
      <c r="A67" s="966">
        <v>26</v>
      </c>
      <c r="B67" s="1207" t="s">
        <v>229</v>
      </c>
      <c r="C67" s="1211">
        <v>423728</v>
      </c>
      <c r="D67" s="1220"/>
      <c r="E67" s="1211">
        <f t="shared" si="7"/>
        <v>423728</v>
      </c>
      <c r="F67" s="968"/>
      <c r="G67" s="1211"/>
      <c r="H67" s="968">
        <f t="shared" si="5"/>
        <v>0</v>
      </c>
      <c r="I67" s="968"/>
      <c r="J67" s="968"/>
      <c r="K67" s="968">
        <f t="shared" si="6"/>
        <v>423728</v>
      </c>
    </row>
    <row r="68" spans="1:11" ht="36">
      <c r="A68" s="966">
        <v>27</v>
      </c>
      <c r="B68" s="1207" t="s">
        <v>230</v>
      </c>
      <c r="C68" s="1211">
        <v>25000</v>
      </c>
      <c r="D68" s="1220"/>
      <c r="E68" s="1211">
        <f t="shared" si="7"/>
        <v>25000</v>
      </c>
      <c r="F68" s="968"/>
      <c r="G68" s="1211"/>
      <c r="H68" s="968">
        <f t="shared" si="5"/>
        <v>0</v>
      </c>
      <c r="I68" s="968"/>
      <c r="J68" s="968"/>
      <c r="K68" s="968">
        <f t="shared" si="6"/>
        <v>25000</v>
      </c>
    </row>
    <row r="69" spans="1:11" ht="54">
      <c r="A69" s="966">
        <v>28</v>
      </c>
      <c r="B69" s="1207" t="s">
        <v>231</v>
      </c>
      <c r="C69" s="1211">
        <v>128400</v>
      </c>
      <c r="D69" s="1220"/>
      <c r="E69" s="1211">
        <f t="shared" si="7"/>
        <v>128400</v>
      </c>
      <c r="F69" s="968"/>
      <c r="G69" s="1211"/>
      <c r="H69" s="968">
        <f t="shared" si="5"/>
        <v>0</v>
      </c>
      <c r="I69" s="968"/>
      <c r="J69" s="968"/>
      <c r="K69" s="968">
        <f t="shared" si="6"/>
        <v>128400</v>
      </c>
    </row>
    <row r="70" spans="1:11" ht="18.75">
      <c r="A70" s="966">
        <v>29</v>
      </c>
      <c r="B70" s="1141" t="s">
        <v>232</v>
      </c>
      <c r="C70" s="1211">
        <v>50000</v>
      </c>
      <c r="D70" s="1211"/>
      <c r="E70" s="1211">
        <f t="shared" si="7"/>
        <v>50000</v>
      </c>
      <c r="F70" s="968"/>
      <c r="G70" s="1211">
        <v>50000</v>
      </c>
      <c r="H70" s="968">
        <f t="shared" ref="H70:H130" si="8">SUM(F70:G70)</f>
        <v>50000</v>
      </c>
      <c r="I70" s="968"/>
      <c r="J70" s="968"/>
      <c r="K70" s="968">
        <f t="shared" ref="K70:K130" si="9">E70-F70-G70-I70-J70</f>
        <v>0</v>
      </c>
    </row>
    <row r="71" spans="1:11" ht="63.75">
      <c r="A71" s="966">
        <v>30</v>
      </c>
      <c r="B71" s="969" t="s">
        <v>233</v>
      </c>
      <c r="C71" s="1211">
        <v>180000</v>
      </c>
      <c r="D71" s="1211"/>
      <c r="E71" s="1211">
        <f t="shared" si="7"/>
        <v>180000</v>
      </c>
      <c r="F71" s="968"/>
      <c r="G71" s="1211">
        <v>180000</v>
      </c>
      <c r="H71" s="968">
        <f t="shared" si="8"/>
        <v>180000</v>
      </c>
      <c r="I71" s="968"/>
      <c r="J71" s="968"/>
      <c r="K71" s="968">
        <f t="shared" si="9"/>
        <v>0</v>
      </c>
    </row>
    <row r="72" spans="1:11" ht="48">
      <c r="A72" s="966">
        <v>31</v>
      </c>
      <c r="B72" s="1213" t="s">
        <v>234</v>
      </c>
      <c r="C72" s="1211">
        <v>45000</v>
      </c>
      <c r="D72" s="1211"/>
      <c r="E72" s="1211">
        <f t="shared" si="7"/>
        <v>45000</v>
      </c>
      <c r="F72" s="968"/>
      <c r="G72" s="1211"/>
      <c r="H72" s="968">
        <f t="shared" si="8"/>
        <v>0</v>
      </c>
      <c r="I72" s="968"/>
      <c r="J72" s="968"/>
      <c r="K72" s="968">
        <f t="shared" si="9"/>
        <v>45000</v>
      </c>
    </row>
    <row r="73" spans="1:11" ht="18.75">
      <c r="A73" s="966">
        <v>32</v>
      </c>
      <c r="B73" s="1208" t="s">
        <v>235</v>
      </c>
      <c r="C73" s="1211">
        <v>27238</v>
      </c>
      <c r="D73" s="1211"/>
      <c r="E73" s="1211">
        <f t="shared" si="7"/>
        <v>27238</v>
      </c>
      <c r="F73" s="968"/>
      <c r="G73" s="1211"/>
      <c r="H73" s="968">
        <f t="shared" si="8"/>
        <v>0</v>
      </c>
      <c r="I73" s="968"/>
      <c r="J73" s="968"/>
      <c r="K73" s="968">
        <f t="shared" si="9"/>
        <v>27238</v>
      </c>
    </row>
    <row r="74" spans="1:11" ht="18.75">
      <c r="A74" s="966">
        <v>33</v>
      </c>
      <c r="B74" s="1208" t="s">
        <v>236</v>
      </c>
      <c r="C74" s="1211">
        <v>25000</v>
      </c>
      <c r="D74" s="1211"/>
      <c r="E74" s="1211">
        <f t="shared" si="7"/>
        <v>25000</v>
      </c>
      <c r="F74" s="968"/>
      <c r="G74" s="1211">
        <v>25000</v>
      </c>
      <c r="H74" s="968">
        <f t="shared" si="8"/>
        <v>25000</v>
      </c>
      <c r="I74" s="968"/>
      <c r="J74" s="968"/>
      <c r="K74" s="968">
        <f t="shared" si="9"/>
        <v>0</v>
      </c>
    </row>
    <row r="75" spans="1:11" ht="18.75">
      <c r="A75" s="966">
        <v>34</v>
      </c>
      <c r="B75" s="1208" t="s">
        <v>237</v>
      </c>
      <c r="C75" s="1211">
        <v>20000</v>
      </c>
      <c r="D75" s="1211"/>
      <c r="E75" s="1211">
        <f t="shared" si="7"/>
        <v>20000</v>
      </c>
      <c r="F75" s="968"/>
      <c r="G75" s="1211">
        <v>20000</v>
      </c>
      <c r="H75" s="968">
        <f t="shared" si="8"/>
        <v>20000</v>
      </c>
      <c r="I75" s="968"/>
      <c r="J75" s="968"/>
      <c r="K75" s="968">
        <f t="shared" si="9"/>
        <v>0</v>
      </c>
    </row>
    <row r="76" spans="1:11" ht="18.75">
      <c r="A76" s="966">
        <v>35</v>
      </c>
      <c r="B76" s="1208" t="s">
        <v>1921</v>
      </c>
      <c r="C76" s="1211">
        <v>10000</v>
      </c>
      <c r="D76" s="1211"/>
      <c r="E76" s="1211">
        <f t="shared" si="7"/>
        <v>10000</v>
      </c>
      <c r="F76" s="968"/>
      <c r="G76" s="1211"/>
      <c r="H76" s="968">
        <f t="shared" si="8"/>
        <v>0</v>
      </c>
      <c r="I76" s="968"/>
      <c r="J76" s="968"/>
      <c r="K76" s="968">
        <f t="shared" si="9"/>
        <v>10000</v>
      </c>
    </row>
    <row r="77" spans="1:11" ht="18.75">
      <c r="A77" s="966">
        <v>36</v>
      </c>
      <c r="B77" s="1208" t="s">
        <v>238</v>
      </c>
      <c r="C77" s="1211">
        <v>10000</v>
      </c>
      <c r="D77" s="1211"/>
      <c r="E77" s="1211">
        <f t="shared" si="7"/>
        <v>10000</v>
      </c>
      <c r="F77" s="968"/>
      <c r="G77" s="1211"/>
      <c r="H77" s="968">
        <f t="shared" si="8"/>
        <v>0</v>
      </c>
      <c r="I77" s="968"/>
      <c r="J77" s="968"/>
      <c r="K77" s="968">
        <f t="shared" si="9"/>
        <v>10000</v>
      </c>
    </row>
    <row r="78" spans="1:11" ht="18.75">
      <c r="A78" s="966">
        <v>37</v>
      </c>
      <c r="B78" s="1208" t="s">
        <v>239</v>
      </c>
      <c r="C78" s="1211">
        <v>10000</v>
      </c>
      <c r="D78" s="1211"/>
      <c r="E78" s="1211">
        <f t="shared" si="7"/>
        <v>10000</v>
      </c>
      <c r="F78" s="968"/>
      <c r="G78" s="1211">
        <v>10000</v>
      </c>
      <c r="H78" s="968">
        <f t="shared" si="8"/>
        <v>10000</v>
      </c>
      <c r="I78" s="968"/>
      <c r="J78" s="968"/>
      <c r="K78" s="968">
        <f t="shared" si="9"/>
        <v>0</v>
      </c>
    </row>
    <row r="79" spans="1:11" ht="18.75">
      <c r="A79" s="966">
        <v>38</v>
      </c>
      <c r="B79" s="1208" t="s">
        <v>240</v>
      </c>
      <c r="C79" s="1211">
        <v>10000</v>
      </c>
      <c r="D79" s="1211"/>
      <c r="E79" s="1211">
        <f t="shared" si="7"/>
        <v>10000</v>
      </c>
      <c r="F79" s="968"/>
      <c r="G79" s="1211">
        <v>10000</v>
      </c>
      <c r="H79" s="968">
        <f t="shared" si="8"/>
        <v>10000</v>
      </c>
      <c r="I79" s="968"/>
      <c r="J79" s="968"/>
      <c r="K79" s="968">
        <f t="shared" si="9"/>
        <v>0</v>
      </c>
    </row>
    <row r="80" spans="1:11" ht="18.75">
      <c r="A80" s="966">
        <v>39</v>
      </c>
      <c r="B80" s="1208" t="s">
        <v>241</v>
      </c>
      <c r="C80" s="1211">
        <v>25000</v>
      </c>
      <c r="D80" s="1211"/>
      <c r="E80" s="1211">
        <f t="shared" si="7"/>
        <v>25000</v>
      </c>
      <c r="F80" s="968"/>
      <c r="G80" s="1211"/>
      <c r="H80" s="968">
        <f t="shared" si="8"/>
        <v>0</v>
      </c>
      <c r="I80" s="968"/>
      <c r="J80" s="968"/>
      <c r="K80" s="968">
        <f t="shared" si="9"/>
        <v>25000</v>
      </c>
    </row>
    <row r="81" spans="1:11" ht="18.75">
      <c r="A81" s="966">
        <v>40</v>
      </c>
      <c r="B81" s="1208" t="s">
        <v>242</v>
      </c>
      <c r="C81" s="1211">
        <v>50000</v>
      </c>
      <c r="D81" s="1211"/>
      <c r="E81" s="1211">
        <f t="shared" si="7"/>
        <v>50000</v>
      </c>
      <c r="F81" s="968"/>
      <c r="G81" s="1211"/>
      <c r="H81" s="968">
        <f t="shared" si="8"/>
        <v>0</v>
      </c>
      <c r="I81" s="968"/>
      <c r="J81" s="968"/>
      <c r="K81" s="968">
        <f t="shared" si="9"/>
        <v>50000</v>
      </c>
    </row>
    <row r="82" spans="1:11" ht="18.75">
      <c r="A82" s="966">
        <v>41</v>
      </c>
      <c r="B82" s="1208" t="s">
        <v>243</v>
      </c>
      <c r="C82" s="1211">
        <v>10000</v>
      </c>
      <c r="D82" s="1211"/>
      <c r="E82" s="1211">
        <f t="shared" si="7"/>
        <v>10000</v>
      </c>
      <c r="F82" s="968"/>
      <c r="G82" s="1211">
        <v>10000</v>
      </c>
      <c r="H82" s="968">
        <f t="shared" si="8"/>
        <v>10000</v>
      </c>
      <c r="I82" s="968"/>
      <c r="J82" s="968"/>
      <c r="K82" s="968">
        <f t="shared" si="9"/>
        <v>0</v>
      </c>
    </row>
    <row r="83" spans="1:11" ht="18.75">
      <c r="A83" s="966">
        <v>42</v>
      </c>
      <c r="B83" s="1208" t="s">
        <v>244</v>
      </c>
      <c r="C83" s="1211">
        <v>5000</v>
      </c>
      <c r="D83" s="1211"/>
      <c r="E83" s="1211">
        <f t="shared" si="7"/>
        <v>5000</v>
      </c>
      <c r="F83" s="968"/>
      <c r="G83" s="1211"/>
      <c r="H83" s="968">
        <f t="shared" si="8"/>
        <v>0</v>
      </c>
      <c r="I83" s="968"/>
      <c r="J83" s="968"/>
      <c r="K83" s="968">
        <f t="shared" si="9"/>
        <v>5000</v>
      </c>
    </row>
    <row r="84" spans="1:11" ht="18.75">
      <c r="A84" s="966">
        <v>43</v>
      </c>
      <c r="B84" s="1208" t="s">
        <v>245</v>
      </c>
      <c r="C84" s="1211">
        <v>45000</v>
      </c>
      <c r="D84" s="1211"/>
      <c r="E84" s="1211">
        <f t="shared" si="7"/>
        <v>45000</v>
      </c>
      <c r="F84" s="968"/>
      <c r="G84" s="1211"/>
      <c r="H84" s="968">
        <f t="shared" si="8"/>
        <v>0</v>
      </c>
      <c r="I84" s="968"/>
      <c r="J84" s="968"/>
      <c r="K84" s="968">
        <f t="shared" si="9"/>
        <v>45000</v>
      </c>
    </row>
    <row r="85" spans="1:11" ht="18.75">
      <c r="A85" s="966">
        <v>44</v>
      </c>
      <c r="B85" s="1208" t="s">
        <v>246</v>
      </c>
      <c r="C85" s="1211">
        <v>100000</v>
      </c>
      <c r="D85" s="1211"/>
      <c r="E85" s="1211">
        <f t="shared" si="7"/>
        <v>100000</v>
      </c>
      <c r="F85" s="968"/>
      <c r="G85" s="1211"/>
      <c r="H85" s="968">
        <f t="shared" si="8"/>
        <v>0</v>
      </c>
      <c r="I85" s="968"/>
      <c r="J85" s="968"/>
      <c r="K85" s="968">
        <f t="shared" si="9"/>
        <v>100000</v>
      </c>
    </row>
    <row r="86" spans="1:11" ht="18.75">
      <c r="A86" s="966">
        <v>45</v>
      </c>
      <c r="B86" s="1208" t="s">
        <v>247</v>
      </c>
      <c r="C86" s="1211">
        <v>10000</v>
      </c>
      <c r="D86" s="1211"/>
      <c r="E86" s="1211">
        <f t="shared" si="7"/>
        <v>10000</v>
      </c>
      <c r="F86" s="968"/>
      <c r="G86" s="1211">
        <v>10000</v>
      </c>
      <c r="H86" s="968">
        <f t="shared" si="8"/>
        <v>10000</v>
      </c>
      <c r="I86" s="968"/>
      <c r="J86" s="968"/>
      <c r="K86" s="968">
        <f t="shared" si="9"/>
        <v>0</v>
      </c>
    </row>
    <row r="87" spans="1:11" ht="18.75">
      <c r="A87" s="966">
        <v>46</v>
      </c>
      <c r="B87" s="1208" t="s">
        <v>248</v>
      </c>
      <c r="C87" s="1211">
        <v>10000</v>
      </c>
      <c r="D87" s="1211"/>
      <c r="E87" s="1211">
        <f t="shared" si="7"/>
        <v>10000</v>
      </c>
      <c r="F87" s="968"/>
      <c r="G87" s="1211">
        <v>10000</v>
      </c>
      <c r="H87" s="968">
        <f t="shared" si="8"/>
        <v>10000</v>
      </c>
      <c r="I87" s="968"/>
      <c r="J87" s="968"/>
      <c r="K87" s="968">
        <f t="shared" si="9"/>
        <v>0</v>
      </c>
    </row>
    <row r="88" spans="1:11" ht="18.75">
      <c r="A88" s="966">
        <v>47</v>
      </c>
      <c r="B88" s="1208" t="s">
        <v>249</v>
      </c>
      <c r="C88" s="1211">
        <v>20000</v>
      </c>
      <c r="D88" s="1211"/>
      <c r="E88" s="1211">
        <f t="shared" si="7"/>
        <v>20000</v>
      </c>
      <c r="F88" s="968"/>
      <c r="G88" s="1211"/>
      <c r="H88" s="968">
        <f t="shared" si="8"/>
        <v>0</v>
      </c>
      <c r="I88" s="968"/>
      <c r="J88" s="968"/>
      <c r="K88" s="968">
        <f t="shared" si="9"/>
        <v>20000</v>
      </c>
    </row>
    <row r="89" spans="1:11" ht="18.75">
      <c r="A89" s="966">
        <v>48</v>
      </c>
      <c r="B89" s="1208" t="s">
        <v>250</v>
      </c>
      <c r="C89" s="1211">
        <v>25000</v>
      </c>
      <c r="D89" s="1211"/>
      <c r="E89" s="1211">
        <f t="shared" si="7"/>
        <v>25000</v>
      </c>
      <c r="F89" s="968"/>
      <c r="G89" s="1211"/>
      <c r="H89" s="968">
        <f t="shared" si="8"/>
        <v>0</v>
      </c>
      <c r="I89" s="968"/>
      <c r="J89" s="968"/>
      <c r="K89" s="968">
        <f t="shared" si="9"/>
        <v>25000</v>
      </c>
    </row>
    <row r="90" spans="1:11" ht="32.25">
      <c r="A90" s="966">
        <v>49</v>
      </c>
      <c r="B90" s="1213" t="s">
        <v>251</v>
      </c>
      <c r="C90" s="1211">
        <v>25000</v>
      </c>
      <c r="D90" s="1211"/>
      <c r="E90" s="1211">
        <f t="shared" si="7"/>
        <v>25000</v>
      </c>
      <c r="F90" s="968"/>
      <c r="G90" s="1211"/>
      <c r="H90" s="968">
        <f t="shared" si="8"/>
        <v>0</v>
      </c>
      <c r="I90" s="968"/>
      <c r="J90" s="968"/>
      <c r="K90" s="968">
        <f t="shared" si="9"/>
        <v>25000</v>
      </c>
    </row>
    <row r="91" spans="1:11" ht="18.75">
      <c r="A91" s="966">
        <v>50</v>
      </c>
      <c r="B91" s="1208" t="s">
        <v>252</v>
      </c>
      <c r="C91" s="1211">
        <v>10000</v>
      </c>
      <c r="D91" s="1211"/>
      <c r="E91" s="1211">
        <f t="shared" si="7"/>
        <v>10000</v>
      </c>
      <c r="F91" s="968"/>
      <c r="G91" s="1211">
        <v>10000</v>
      </c>
      <c r="H91" s="968">
        <f t="shared" si="8"/>
        <v>10000</v>
      </c>
      <c r="I91" s="968"/>
      <c r="J91" s="968"/>
      <c r="K91" s="968">
        <f t="shared" si="9"/>
        <v>0</v>
      </c>
    </row>
    <row r="92" spans="1:11" ht="18.75">
      <c r="A92" s="966">
        <v>51</v>
      </c>
      <c r="B92" s="1208" t="s">
        <v>253</v>
      </c>
      <c r="C92" s="1211">
        <v>10000</v>
      </c>
      <c r="D92" s="1211"/>
      <c r="E92" s="1211">
        <f t="shared" si="7"/>
        <v>10000</v>
      </c>
      <c r="F92" s="968"/>
      <c r="G92" s="1211"/>
      <c r="H92" s="968">
        <f t="shared" si="8"/>
        <v>0</v>
      </c>
      <c r="I92" s="968"/>
      <c r="J92" s="968"/>
      <c r="K92" s="968">
        <f t="shared" si="9"/>
        <v>10000</v>
      </c>
    </row>
    <row r="93" spans="1:11" ht="18.75">
      <c r="A93" s="966">
        <v>52</v>
      </c>
      <c r="B93" s="1208" t="s">
        <v>254</v>
      </c>
      <c r="C93" s="1211">
        <v>5000</v>
      </c>
      <c r="D93" s="1211"/>
      <c r="E93" s="1211">
        <f t="shared" si="7"/>
        <v>5000</v>
      </c>
      <c r="F93" s="968"/>
      <c r="G93" s="1211"/>
      <c r="H93" s="968">
        <f t="shared" si="8"/>
        <v>0</v>
      </c>
      <c r="I93" s="968"/>
      <c r="J93" s="968"/>
      <c r="K93" s="968">
        <f t="shared" si="9"/>
        <v>5000</v>
      </c>
    </row>
    <row r="94" spans="1:11" ht="18.75">
      <c r="A94" s="966">
        <v>53</v>
      </c>
      <c r="B94" s="1208" t="s">
        <v>255</v>
      </c>
      <c r="C94" s="1211">
        <v>20000</v>
      </c>
      <c r="D94" s="1211"/>
      <c r="E94" s="1211">
        <f t="shared" si="7"/>
        <v>20000</v>
      </c>
      <c r="F94" s="968"/>
      <c r="G94" s="1211">
        <v>20000</v>
      </c>
      <c r="H94" s="968">
        <f t="shared" si="8"/>
        <v>20000</v>
      </c>
      <c r="I94" s="968"/>
      <c r="J94" s="968"/>
      <c r="K94" s="968">
        <f t="shared" si="9"/>
        <v>0</v>
      </c>
    </row>
    <row r="95" spans="1:11" ht="18.75">
      <c r="A95" s="966">
        <v>54</v>
      </c>
      <c r="B95" s="1208" t="s">
        <v>256</v>
      </c>
      <c r="C95" s="1211">
        <v>10000</v>
      </c>
      <c r="D95" s="1211"/>
      <c r="E95" s="1211">
        <f t="shared" si="7"/>
        <v>10000</v>
      </c>
      <c r="F95" s="968"/>
      <c r="G95" s="1211">
        <v>10000</v>
      </c>
      <c r="H95" s="968">
        <f t="shared" si="8"/>
        <v>10000</v>
      </c>
      <c r="I95" s="968"/>
      <c r="J95" s="968"/>
      <c r="K95" s="968">
        <f t="shared" si="9"/>
        <v>0</v>
      </c>
    </row>
    <row r="96" spans="1:11" ht="18.75">
      <c r="A96" s="966">
        <v>55</v>
      </c>
      <c r="B96" s="1208" t="s">
        <v>257</v>
      </c>
      <c r="C96" s="1211">
        <v>3000</v>
      </c>
      <c r="D96" s="1211"/>
      <c r="E96" s="1211">
        <f t="shared" si="7"/>
        <v>3000</v>
      </c>
      <c r="F96" s="968"/>
      <c r="G96" s="1211"/>
      <c r="H96" s="968">
        <f t="shared" si="8"/>
        <v>0</v>
      </c>
      <c r="I96" s="968"/>
      <c r="J96" s="968"/>
      <c r="K96" s="968">
        <f t="shared" si="9"/>
        <v>3000</v>
      </c>
    </row>
    <row r="97" spans="1:11" ht="18.75">
      <c r="A97" s="966">
        <v>56</v>
      </c>
      <c r="B97" s="1208" t="s">
        <v>258</v>
      </c>
      <c r="C97" s="1211">
        <v>150000</v>
      </c>
      <c r="D97" s="1211"/>
      <c r="E97" s="1211">
        <f t="shared" si="7"/>
        <v>150000</v>
      </c>
      <c r="F97" s="968"/>
      <c r="G97" s="1211"/>
      <c r="H97" s="968">
        <f t="shared" si="8"/>
        <v>0</v>
      </c>
      <c r="I97" s="968"/>
      <c r="J97" s="968"/>
      <c r="K97" s="968">
        <f t="shared" si="9"/>
        <v>150000</v>
      </c>
    </row>
    <row r="98" spans="1:11" ht="18.75">
      <c r="A98" s="966">
        <v>57</v>
      </c>
      <c r="B98" s="1208" t="s">
        <v>259</v>
      </c>
      <c r="C98" s="1211">
        <v>4200</v>
      </c>
      <c r="D98" s="1211"/>
      <c r="E98" s="1211">
        <f t="shared" si="7"/>
        <v>4200</v>
      </c>
      <c r="F98" s="968"/>
      <c r="G98" s="1211">
        <v>4200</v>
      </c>
      <c r="H98" s="968">
        <f t="shared" si="8"/>
        <v>4200</v>
      </c>
      <c r="I98" s="968"/>
      <c r="J98" s="968"/>
      <c r="K98" s="968">
        <f t="shared" si="9"/>
        <v>0</v>
      </c>
    </row>
    <row r="99" spans="1:11" ht="18.75">
      <c r="A99" s="966">
        <v>58</v>
      </c>
      <c r="B99" s="1208" t="s">
        <v>260</v>
      </c>
      <c r="C99" s="1211">
        <v>10000</v>
      </c>
      <c r="D99" s="1211"/>
      <c r="E99" s="1211">
        <f t="shared" si="7"/>
        <v>10000</v>
      </c>
      <c r="F99" s="968"/>
      <c r="G99" s="1211"/>
      <c r="H99" s="968">
        <f t="shared" si="8"/>
        <v>0</v>
      </c>
      <c r="I99" s="968"/>
      <c r="J99" s="968"/>
      <c r="K99" s="968">
        <f t="shared" si="9"/>
        <v>10000</v>
      </c>
    </row>
    <row r="100" spans="1:11" ht="18.75">
      <c r="A100" s="966">
        <v>59</v>
      </c>
      <c r="B100" s="1208" t="s">
        <v>1922</v>
      </c>
      <c r="C100" s="1211">
        <v>10000</v>
      </c>
      <c r="D100" s="1211"/>
      <c r="E100" s="1211">
        <f t="shared" si="7"/>
        <v>10000</v>
      </c>
      <c r="F100" s="968"/>
      <c r="G100" s="1211">
        <v>10000</v>
      </c>
      <c r="H100" s="968">
        <f t="shared" si="8"/>
        <v>10000</v>
      </c>
      <c r="I100" s="968"/>
      <c r="J100" s="968"/>
      <c r="K100" s="968">
        <f t="shared" si="9"/>
        <v>0</v>
      </c>
    </row>
    <row r="101" spans="1:11" ht="18.75">
      <c r="A101" s="966">
        <v>60</v>
      </c>
      <c r="B101" s="1208" t="s">
        <v>261</v>
      </c>
      <c r="C101" s="1211">
        <v>20000</v>
      </c>
      <c r="D101" s="1211"/>
      <c r="E101" s="1211">
        <f t="shared" si="7"/>
        <v>20000</v>
      </c>
      <c r="F101" s="968"/>
      <c r="G101" s="1211">
        <v>20000</v>
      </c>
      <c r="H101" s="968">
        <f t="shared" si="8"/>
        <v>20000</v>
      </c>
      <c r="I101" s="968"/>
      <c r="J101" s="968"/>
      <c r="K101" s="968">
        <f t="shared" si="9"/>
        <v>0</v>
      </c>
    </row>
    <row r="102" spans="1:11" ht="18.75">
      <c r="A102" s="966">
        <v>61</v>
      </c>
      <c r="B102" s="1208" t="s">
        <v>262</v>
      </c>
      <c r="C102" s="1211">
        <v>5000</v>
      </c>
      <c r="D102" s="1211"/>
      <c r="E102" s="1211">
        <f t="shared" si="7"/>
        <v>5000</v>
      </c>
      <c r="F102" s="968"/>
      <c r="G102" s="1211"/>
      <c r="H102" s="968">
        <f t="shared" si="8"/>
        <v>0</v>
      </c>
      <c r="I102" s="968"/>
      <c r="J102" s="968"/>
      <c r="K102" s="968">
        <f t="shared" si="9"/>
        <v>5000</v>
      </c>
    </row>
    <row r="103" spans="1:11" ht="18.75">
      <c r="A103" s="966">
        <v>62</v>
      </c>
      <c r="B103" s="1208" t="s">
        <v>263</v>
      </c>
      <c r="C103" s="1211">
        <v>25000</v>
      </c>
      <c r="D103" s="1211"/>
      <c r="E103" s="1211">
        <f t="shared" si="7"/>
        <v>25000</v>
      </c>
      <c r="F103" s="968"/>
      <c r="G103" s="1211">
        <v>25000</v>
      </c>
      <c r="H103" s="968">
        <f t="shared" si="8"/>
        <v>25000</v>
      </c>
      <c r="I103" s="968"/>
      <c r="J103" s="968"/>
      <c r="K103" s="968">
        <f t="shared" si="9"/>
        <v>0</v>
      </c>
    </row>
    <row r="104" spans="1:11" ht="18.75">
      <c r="A104" s="966">
        <v>63</v>
      </c>
      <c r="B104" s="1208" t="s">
        <v>264</v>
      </c>
      <c r="C104" s="1211">
        <v>5000</v>
      </c>
      <c r="D104" s="1211"/>
      <c r="E104" s="1211">
        <f t="shared" si="7"/>
        <v>5000</v>
      </c>
      <c r="F104" s="968"/>
      <c r="G104" s="1211"/>
      <c r="H104" s="968">
        <f t="shared" si="8"/>
        <v>0</v>
      </c>
      <c r="I104" s="968"/>
      <c r="J104" s="968"/>
      <c r="K104" s="968">
        <f t="shared" si="9"/>
        <v>5000</v>
      </c>
    </row>
    <row r="105" spans="1:11" ht="18.75">
      <c r="A105" s="966">
        <v>64</v>
      </c>
      <c r="B105" s="1208" t="s">
        <v>265</v>
      </c>
      <c r="C105" s="1211">
        <v>10000</v>
      </c>
      <c r="D105" s="1211"/>
      <c r="E105" s="1211">
        <f t="shared" si="7"/>
        <v>10000</v>
      </c>
      <c r="F105" s="968"/>
      <c r="G105" s="1211"/>
      <c r="H105" s="968">
        <f t="shared" si="8"/>
        <v>0</v>
      </c>
      <c r="I105" s="968"/>
      <c r="J105" s="968"/>
      <c r="K105" s="968">
        <f t="shared" si="9"/>
        <v>10000</v>
      </c>
    </row>
    <row r="106" spans="1:11" ht="18.75">
      <c r="A106" s="966">
        <v>65</v>
      </c>
      <c r="B106" s="1208" t="s">
        <v>266</v>
      </c>
      <c r="C106" s="1211">
        <v>30000</v>
      </c>
      <c r="D106" s="1211"/>
      <c r="E106" s="1211">
        <f t="shared" si="7"/>
        <v>30000</v>
      </c>
      <c r="F106" s="968"/>
      <c r="G106" s="1211"/>
      <c r="H106" s="968">
        <f t="shared" si="8"/>
        <v>0</v>
      </c>
      <c r="I106" s="968"/>
      <c r="J106" s="968"/>
      <c r="K106" s="968">
        <f t="shared" si="9"/>
        <v>30000</v>
      </c>
    </row>
    <row r="107" spans="1:11" ht="18.75">
      <c r="A107" s="966">
        <v>66</v>
      </c>
      <c r="B107" s="1208" t="s">
        <v>267</v>
      </c>
      <c r="C107" s="1211">
        <v>7500</v>
      </c>
      <c r="D107" s="1211"/>
      <c r="E107" s="1211">
        <f t="shared" si="7"/>
        <v>7500</v>
      </c>
      <c r="F107" s="968"/>
      <c r="G107" s="1211"/>
      <c r="H107" s="968">
        <f t="shared" si="8"/>
        <v>0</v>
      </c>
      <c r="I107" s="968"/>
      <c r="J107" s="968"/>
      <c r="K107" s="968">
        <f t="shared" si="9"/>
        <v>7500</v>
      </c>
    </row>
    <row r="108" spans="1:11" ht="18.75">
      <c r="A108" s="966">
        <v>67</v>
      </c>
      <c r="B108" s="1208" t="s">
        <v>268</v>
      </c>
      <c r="C108" s="1211">
        <v>300000</v>
      </c>
      <c r="D108" s="1211"/>
      <c r="E108" s="1211">
        <f t="shared" si="7"/>
        <v>300000</v>
      </c>
      <c r="F108" s="968"/>
      <c r="G108" s="1211"/>
      <c r="H108" s="968">
        <f t="shared" si="8"/>
        <v>0</v>
      </c>
      <c r="I108" s="968"/>
      <c r="J108" s="968"/>
      <c r="K108" s="968">
        <f t="shared" si="9"/>
        <v>300000</v>
      </c>
    </row>
    <row r="109" spans="1:11" ht="18.75">
      <c r="A109" s="966">
        <v>68</v>
      </c>
      <c r="B109" s="1214" t="s">
        <v>269</v>
      </c>
      <c r="C109" s="1211">
        <v>5000</v>
      </c>
      <c r="D109" s="1220"/>
      <c r="E109" s="1211">
        <f t="shared" si="7"/>
        <v>5000</v>
      </c>
      <c r="F109" s="968"/>
      <c r="G109" s="1211"/>
      <c r="H109" s="968">
        <f t="shared" si="8"/>
        <v>0</v>
      </c>
      <c r="I109" s="968"/>
      <c r="J109" s="968"/>
      <c r="K109" s="968">
        <f t="shared" si="9"/>
        <v>5000</v>
      </c>
    </row>
    <row r="110" spans="1:11" ht="18.75">
      <c r="A110" s="966">
        <v>69</v>
      </c>
      <c r="B110" s="1214" t="s">
        <v>270</v>
      </c>
      <c r="C110" s="1211">
        <v>15000</v>
      </c>
      <c r="D110" s="1220"/>
      <c r="E110" s="1211">
        <f t="shared" si="7"/>
        <v>15000</v>
      </c>
      <c r="F110" s="968"/>
      <c r="G110" s="1211"/>
      <c r="H110" s="968">
        <f t="shared" si="8"/>
        <v>0</v>
      </c>
      <c r="I110" s="968"/>
      <c r="J110" s="968"/>
      <c r="K110" s="968">
        <f t="shared" si="9"/>
        <v>15000</v>
      </c>
    </row>
    <row r="111" spans="1:11" ht="18.75">
      <c r="A111" s="966">
        <v>70</v>
      </c>
      <c r="B111" s="1214" t="s">
        <v>271</v>
      </c>
      <c r="C111" s="1211">
        <v>49500</v>
      </c>
      <c r="D111" s="1220"/>
      <c r="E111" s="1211">
        <f t="shared" si="7"/>
        <v>49500</v>
      </c>
      <c r="F111" s="968"/>
      <c r="G111" s="1211"/>
      <c r="H111" s="968">
        <f t="shared" si="8"/>
        <v>0</v>
      </c>
      <c r="I111" s="968"/>
      <c r="J111" s="968"/>
      <c r="K111" s="968">
        <f t="shared" si="9"/>
        <v>49500</v>
      </c>
    </row>
    <row r="112" spans="1:11" ht="18.75">
      <c r="A112" s="966">
        <v>71</v>
      </c>
      <c r="B112" s="967" t="s">
        <v>272</v>
      </c>
      <c r="C112" s="1211">
        <v>125000</v>
      </c>
      <c r="D112" s="1220"/>
      <c r="E112" s="1211">
        <f t="shared" si="7"/>
        <v>125000</v>
      </c>
      <c r="F112" s="968"/>
      <c r="G112" s="1211"/>
      <c r="H112" s="968">
        <f t="shared" si="8"/>
        <v>0</v>
      </c>
      <c r="I112" s="968"/>
      <c r="J112" s="968"/>
      <c r="K112" s="968">
        <f t="shared" si="9"/>
        <v>125000</v>
      </c>
    </row>
    <row r="113" spans="1:11" ht="18.75">
      <c r="A113" s="966">
        <v>72</v>
      </c>
      <c r="B113" s="967" t="s">
        <v>273</v>
      </c>
      <c r="C113" s="1211">
        <v>5000</v>
      </c>
      <c r="D113" s="1220"/>
      <c r="E113" s="1211">
        <f t="shared" si="7"/>
        <v>5000</v>
      </c>
      <c r="F113" s="968"/>
      <c r="G113" s="1211"/>
      <c r="H113" s="968">
        <f t="shared" si="8"/>
        <v>0</v>
      </c>
      <c r="I113" s="968"/>
      <c r="J113" s="968"/>
      <c r="K113" s="968">
        <f t="shared" si="9"/>
        <v>5000</v>
      </c>
    </row>
    <row r="114" spans="1:11" ht="18.75">
      <c r="A114" s="966">
        <v>73</v>
      </c>
      <c r="B114" s="967" t="s">
        <v>274</v>
      </c>
      <c r="C114" s="1211">
        <v>5000</v>
      </c>
      <c r="D114" s="1220"/>
      <c r="E114" s="1211">
        <f t="shared" si="7"/>
        <v>5000</v>
      </c>
      <c r="F114" s="968"/>
      <c r="G114" s="1211"/>
      <c r="H114" s="968">
        <f t="shared" si="8"/>
        <v>0</v>
      </c>
      <c r="I114" s="968"/>
      <c r="J114" s="968"/>
      <c r="K114" s="968">
        <f t="shared" si="9"/>
        <v>5000</v>
      </c>
    </row>
    <row r="115" spans="1:11" ht="18.75">
      <c r="A115" s="966">
        <v>74</v>
      </c>
      <c r="B115" s="967" t="s">
        <v>275</v>
      </c>
      <c r="C115" s="1211">
        <v>25000</v>
      </c>
      <c r="D115" s="1220"/>
      <c r="E115" s="1211">
        <f t="shared" si="7"/>
        <v>25000</v>
      </c>
      <c r="F115" s="968"/>
      <c r="G115" s="1211"/>
      <c r="H115" s="968">
        <f t="shared" si="8"/>
        <v>0</v>
      </c>
      <c r="I115" s="968"/>
      <c r="J115" s="968"/>
      <c r="K115" s="968">
        <f t="shared" si="9"/>
        <v>25000</v>
      </c>
    </row>
    <row r="116" spans="1:11" ht="18.75">
      <c r="A116" s="966">
        <v>75</v>
      </c>
      <c r="B116" s="967" t="s">
        <v>276</v>
      </c>
      <c r="C116" s="1211">
        <v>5000</v>
      </c>
      <c r="D116" s="1220"/>
      <c r="E116" s="1211">
        <f t="shared" si="7"/>
        <v>5000</v>
      </c>
      <c r="F116" s="968"/>
      <c r="G116" s="1211"/>
      <c r="H116" s="968">
        <f t="shared" si="8"/>
        <v>0</v>
      </c>
      <c r="I116" s="968"/>
      <c r="J116" s="968"/>
      <c r="K116" s="968">
        <f t="shared" si="9"/>
        <v>5000</v>
      </c>
    </row>
    <row r="117" spans="1:11" ht="18.75">
      <c r="A117" s="966">
        <v>76</v>
      </c>
      <c r="B117" s="967" t="s">
        <v>277</v>
      </c>
      <c r="C117" s="1211">
        <v>10000</v>
      </c>
      <c r="D117" s="1220"/>
      <c r="E117" s="1211">
        <f t="shared" si="7"/>
        <v>10000</v>
      </c>
      <c r="F117" s="968"/>
      <c r="G117" s="1211"/>
      <c r="H117" s="968">
        <f t="shared" si="8"/>
        <v>0</v>
      </c>
      <c r="I117" s="968"/>
      <c r="J117" s="968"/>
      <c r="K117" s="968">
        <f t="shared" si="9"/>
        <v>10000</v>
      </c>
    </row>
    <row r="118" spans="1:11" ht="36">
      <c r="A118" s="966">
        <v>77</v>
      </c>
      <c r="B118" s="1207" t="s">
        <v>278</v>
      </c>
      <c r="C118" s="1211">
        <v>10000</v>
      </c>
      <c r="D118" s="1211"/>
      <c r="E118" s="1211">
        <f t="shared" si="7"/>
        <v>10000</v>
      </c>
      <c r="F118" s="968"/>
      <c r="G118" s="1211"/>
      <c r="H118" s="968">
        <f t="shared" si="8"/>
        <v>0</v>
      </c>
      <c r="I118" s="968"/>
      <c r="J118" s="968"/>
      <c r="K118" s="968">
        <f t="shared" si="9"/>
        <v>10000</v>
      </c>
    </row>
    <row r="119" spans="1:11" ht="36">
      <c r="A119" s="966">
        <v>78</v>
      </c>
      <c r="B119" s="1207" t="s">
        <v>279</v>
      </c>
      <c r="C119" s="1211">
        <v>25000</v>
      </c>
      <c r="D119" s="1211"/>
      <c r="E119" s="1211">
        <f t="shared" si="7"/>
        <v>25000</v>
      </c>
      <c r="F119" s="968"/>
      <c r="G119" s="1211"/>
      <c r="H119" s="968">
        <f t="shared" si="8"/>
        <v>0</v>
      </c>
      <c r="I119" s="968"/>
      <c r="J119" s="968"/>
      <c r="K119" s="968">
        <f t="shared" si="9"/>
        <v>25000</v>
      </c>
    </row>
    <row r="120" spans="1:11" ht="36">
      <c r="A120" s="966">
        <v>79</v>
      </c>
      <c r="B120" s="1207" t="s">
        <v>280</v>
      </c>
      <c r="C120" s="1211">
        <v>15000</v>
      </c>
      <c r="D120" s="1211"/>
      <c r="E120" s="1211">
        <f t="shared" si="7"/>
        <v>15000</v>
      </c>
      <c r="F120" s="968"/>
      <c r="G120" s="1211"/>
      <c r="H120" s="968">
        <f t="shared" si="8"/>
        <v>0</v>
      </c>
      <c r="I120" s="968"/>
      <c r="J120" s="968"/>
      <c r="K120" s="968">
        <f t="shared" si="9"/>
        <v>15000</v>
      </c>
    </row>
    <row r="121" spans="1:11" ht="18.75">
      <c r="A121" s="966">
        <v>80</v>
      </c>
      <c r="B121" s="1207" t="s">
        <v>281</v>
      </c>
      <c r="C121" s="1211">
        <v>25000</v>
      </c>
      <c r="D121" s="1211"/>
      <c r="E121" s="1211">
        <f t="shared" si="7"/>
        <v>25000</v>
      </c>
      <c r="F121" s="968"/>
      <c r="G121" s="1211"/>
      <c r="H121" s="968">
        <f t="shared" si="8"/>
        <v>0</v>
      </c>
      <c r="I121" s="968"/>
      <c r="J121" s="968"/>
      <c r="K121" s="968">
        <f t="shared" si="9"/>
        <v>25000</v>
      </c>
    </row>
    <row r="122" spans="1:11" ht="72">
      <c r="A122" s="966">
        <v>81</v>
      </c>
      <c r="B122" s="1207" t="s">
        <v>282</v>
      </c>
      <c r="C122" s="1211">
        <v>270000</v>
      </c>
      <c r="D122" s="1211"/>
      <c r="E122" s="1211">
        <f t="shared" si="7"/>
        <v>270000</v>
      </c>
      <c r="F122" s="968"/>
      <c r="G122" s="1211"/>
      <c r="H122" s="968">
        <f t="shared" si="8"/>
        <v>0</v>
      </c>
      <c r="I122" s="968"/>
      <c r="J122" s="968"/>
      <c r="K122" s="968">
        <f t="shared" si="9"/>
        <v>270000</v>
      </c>
    </row>
    <row r="123" spans="1:11" ht="36">
      <c r="A123" s="966">
        <v>82</v>
      </c>
      <c r="B123" s="1207" t="s">
        <v>283</v>
      </c>
      <c r="C123" s="1211">
        <v>25000</v>
      </c>
      <c r="D123" s="1211"/>
      <c r="E123" s="1211">
        <f t="shared" si="7"/>
        <v>25000</v>
      </c>
      <c r="F123" s="968"/>
      <c r="G123" s="1211"/>
      <c r="H123" s="968">
        <f t="shared" si="8"/>
        <v>0</v>
      </c>
      <c r="I123" s="968"/>
      <c r="J123" s="968"/>
      <c r="K123" s="968">
        <f t="shared" si="9"/>
        <v>25000</v>
      </c>
    </row>
    <row r="124" spans="1:11" ht="36">
      <c r="A124" s="966">
        <v>83</v>
      </c>
      <c r="B124" s="1207" t="s">
        <v>284</v>
      </c>
      <c r="C124" s="1211">
        <v>5000</v>
      </c>
      <c r="D124" s="1211"/>
      <c r="E124" s="1211">
        <f t="shared" si="7"/>
        <v>5000</v>
      </c>
      <c r="F124" s="968"/>
      <c r="G124" s="1211"/>
      <c r="H124" s="968">
        <f t="shared" si="8"/>
        <v>0</v>
      </c>
      <c r="I124" s="968"/>
      <c r="J124" s="968"/>
      <c r="K124" s="968">
        <f t="shared" si="9"/>
        <v>5000</v>
      </c>
    </row>
    <row r="125" spans="1:11" ht="72">
      <c r="A125" s="966">
        <v>84</v>
      </c>
      <c r="B125" s="1207" t="s">
        <v>285</v>
      </c>
      <c r="C125" s="1211">
        <v>8000</v>
      </c>
      <c r="D125" s="1211"/>
      <c r="E125" s="1211">
        <f t="shared" si="7"/>
        <v>8000</v>
      </c>
      <c r="F125" s="968"/>
      <c r="G125" s="1211"/>
      <c r="H125" s="968">
        <f t="shared" si="8"/>
        <v>0</v>
      </c>
      <c r="I125" s="968"/>
      <c r="J125" s="968"/>
      <c r="K125" s="968">
        <f t="shared" si="9"/>
        <v>8000</v>
      </c>
    </row>
    <row r="126" spans="1:11" ht="36">
      <c r="A126" s="966">
        <v>85</v>
      </c>
      <c r="B126" s="1207" t="s">
        <v>286</v>
      </c>
      <c r="C126" s="1211">
        <v>10000</v>
      </c>
      <c r="D126" s="1211"/>
      <c r="E126" s="1211">
        <f t="shared" si="7"/>
        <v>10000</v>
      </c>
      <c r="F126" s="968"/>
      <c r="G126" s="1211"/>
      <c r="H126" s="968">
        <f t="shared" si="8"/>
        <v>0</v>
      </c>
      <c r="I126" s="968"/>
      <c r="J126" s="968"/>
      <c r="K126" s="968">
        <f t="shared" si="9"/>
        <v>10000</v>
      </c>
    </row>
    <row r="127" spans="1:11" ht="36">
      <c r="A127" s="966">
        <v>86</v>
      </c>
      <c r="B127" s="1207" t="s">
        <v>287</v>
      </c>
      <c r="C127" s="1211">
        <v>25000</v>
      </c>
      <c r="D127" s="1211"/>
      <c r="E127" s="1211">
        <f t="shared" si="7"/>
        <v>25000</v>
      </c>
      <c r="F127" s="968"/>
      <c r="G127" s="1211"/>
      <c r="H127" s="968">
        <f t="shared" si="8"/>
        <v>0</v>
      </c>
      <c r="I127" s="968"/>
      <c r="J127" s="968"/>
      <c r="K127" s="968">
        <f t="shared" si="9"/>
        <v>25000</v>
      </c>
    </row>
    <row r="128" spans="1:11" ht="36">
      <c r="A128" s="966">
        <v>87</v>
      </c>
      <c r="B128" s="1207" t="s">
        <v>288</v>
      </c>
      <c r="C128" s="1211">
        <v>50000</v>
      </c>
      <c r="D128" s="1211"/>
      <c r="E128" s="1211">
        <f t="shared" si="7"/>
        <v>50000</v>
      </c>
      <c r="F128" s="968"/>
      <c r="G128" s="1211"/>
      <c r="H128" s="968">
        <f t="shared" si="8"/>
        <v>0</v>
      </c>
      <c r="I128" s="968"/>
      <c r="J128" s="968"/>
      <c r="K128" s="968">
        <f t="shared" si="9"/>
        <v>50000</v>
      </c>
    </row>
    <row r="129" spans="1:11" ht="36">
      <c r="A129" s="966">
        <v>88</v>
      </c>
      <c r="B129" s="1207" t="s">
        <v>289</v>
      </c>
      <c r="C129" s="1211">
        <v>20000</v>
      </c>
      <c r="D129" s="1211"/>
      <c r="E129" s="1211">
        <f t="shared" si="7"/>
        <v>20000</v>
      </c>
      <c r="F129" s="968"/>
      <c r="G129" s="1211"/>
      <c r="H129" s="968">
        <f t="shared" si="8"/>
        <v>0</v>
      </c>
      <c r="I129" s="968"/>
      <c r="J129" s="968"/>
      <c r="K129" s="968">
        <f t="shared" si="9"/>
        <v>20000</v>
      </c>
    </row>
    <row r="130" spans="1:11" ht="36">
      <c r="A130" s="966">
        <v>89</v>
      </c>
      <c r="B130" s="1207" t="s">
        <v>290</v>
      </c>
      <c r="C130" s="1211">
        <v>15000</v>
      </c>
      <c r="D130" s="1211"/>
      <c r="E130" s="1211">
        <f t="shared" si="7"/>
        <v>15000</v>
      </c>
      <c r="F130" s="968"/>
      <c r="G130" s="1211"/>
      <c r="H130" s="968">
        <f t="shared" si="8"/>
        <v>0</v>
      </c>
      <c r="I130" s="968"/>
      <c r="J130" s="968"/>
      <c r="K130" s="968">
        <f t="shared" si="9"/>
        <v>15000</v>
      </c>
    </row>
    <row r="131" spans="1:11" ht="54">
      <c r="A131" s="966">
        <v>90</v>
      </c>
      <c r="B131" s="1207" t="s">
        <v>291</v>
      </c>
      <c r="C131" s="1211">
        <v>100000</v>
      </c>
      <c r="D131" s="1211"/>
      <c r="E131" s="1211">
        <f t="shared" si="7"/>
        <v>100000</v>
      </c>
      <c r="F131" s="968"/>
      <c r="G131" s="1211"/>
      <c r="H131" s="968">
        <f t="shared" ref="H131:H194" si="10">SUM(F131:G131)</f>
        <v>0</v>
      </c>
      <c r="I131" s="968"/>
      <c r="J131" s="968"/>
      <c r="K131" s="968">
        <f t="shared" ref="K131:K194" si="11">E131-F131-G131-I131-J131</f>
        <v>100000</v>
      </c>
    </row>
    <row r="132" spans="1:11" ht="18.75">
      <c r="A132" s="966">
        <v>91</v>
      </c>
      <c r="B132" s="1207" t="s">
        <v>292</v>
      </c>
      <c r="C132" s="1211">
        <v>10000</v>
      </c>
      <c r="D132" s="1211"/>
      <c r="E132" s="1211">
        <f t="shared" si="7"/>
        <v>10000</v>
      </c>
      <c r="F132" s="968"/>
      <c r="G132" s="1211"/>
      <c r="H132" s="968">
        <f t="shared" si="10"/>
        <v>0</v>
      </c>
      <c r="I132" s="968"/>
      <c r="J132" s="968"/>
      <c r="K132" s="968">
        <f t="shared" si="11"/>
        <v>10000</v>
      </c>
    </row>
    <row r="133" spans="1:11" ht="36">
      <c r="A133" s="966">
        <v>92</v>
      </c>
      <c r="B133" s="1207" t="s">
        <v>293</v>
      </c>
      <c r="C133" s="1211">
        <v>5000</v>
      </c>
      <c r="D133" s="1211"/>
      <c r="E133" s="1211">
        <f t="shared" si="7"/>
        <v>5000</v>
      </c>
      <c r="F133" s="968"/>
      <c r="G133" s="1211"/>
      <c r="H133" s="968">
        <f t="shared" si="10"/>
        <v>0</v>
      </c>
      <c r="I133" s="968"/>
      <c r="J133" s="968"/>
      <c r="K133" s="968">
        <f t="shared" si="11"/>
        <v>5000</v>
      </c>
    </row>
    <row r="134" spans="1:11" ht="54">
      <c r="A134" s="966">
        <v>93</v>
      </c>
      <c r="B134" s="1207" t="s">
        <v>294</v>
      </c>
      <c r="C134" s="1211">
        <v>506250</v>
      </c>
      <c r="D134" s="1211"/>
      <c r="E134" s="1211">
        <f t="shared" si="7"/>
        <v>506250</v>
      </c>
      <c r="F134" s="968"/>
      <c r="G134" s="1211"/>
      <c r="H134" s="968">
        <f t="shared" si="10"/>
        <v>0</v>
      </c>
      <c r="I134" s="968"/>
      <c r="J134" s="968"/>
      <c r="K134" s="968">
        <f t="shared" si="11"/>
        <v>506250</v>
      </c>
    </row>
    <row r="135" spans="1:11" ht="36">
      <c r="A135" s="966">
        <v>94</v>
      </c>
      <c r="B135" s="1207" t="s">
        <v>295</v>
      </c>
      <c r="C135" s="1211">
        <v>3000</v>
      </c>
      <c r="D135" s="1211"/>
      <c r="E135" s="1211">
        <f t="shared" si="7"/>
        <v>3000</v>
      </c>
      <c r="F135" s="968"/>
      <c r="G135" s="1211"/>
      <c r="H135" s="968">
        <f t="shared" si="10"/>
        <v>0</v>
      </c>
      <c r="I135" s="968"/>
      <c r="J135" s="968"/>
      <c r="K135" s="968">
        <f t="shared" si="11"/>
        <v>3000</v>
      </c>
    </row>
    <row r="136" spans="1:11" ht="36">
      <c r="A136" s="966">
        <v>95</v>
      </c>
      <c r="B136" s="1207" t="s">
        <v>296</v>
      </c>
      <c r="C136" s="1211">
        <v>70000</v>
      </c>
      <c r="D136" s="1211"/>
      <c r="E136" s="1211">
        <f t="shared" si="7"/>
        <v>70000</v>
      </c>
      <c r="F136" s="968"/>
      <c r="G136" s="1211"/>
      <c r="H136" s="968">
        <f t="shared" si="10"/>
        <v>0</v>
      </c>
      <c r="I136" s="968"/>
      <c r="J136" s="968"/>
      <c r="K136" s="968">
        <f t="shared" si="11"/>
        <v>70000</v>
      </c>
    </row>
    <row r="137" spans="1:11" ht="54">
      <c r="A137" s="966">
        <v>96</v>
      </c>
      <c r="B137" s="1207" t="s">
        <v>297</v>
      </c>
      <c r="C137" s="1211">
        <v>5000</v>
      </c>
      <c r="D137" s="1211"/>
      <c r="E137" s="1211">
        <f t="shared" si="7"/>
        <v>5000</v>
      </c>
      <c r="F137" s="968"/>
      <c r="G137" s="1211"/>
      <c r="H137" s="968">
        <f t="shared" si="10"/>
        <v>0</v>
      </c>
      <c r="I137" s="968"/>
      <c r="J137" s="968"/>
      <c r="K137" s="968">
        <f t="shared" si="11"/>
        <v>5000</v>
      </c>
    </row>
    <row r="138" spans="1:11" ht="18.75">
      <c r="A138" s="966">
        <v>97</v>
      </c>
      <c r="B138" s="1207" t="s">
        <v>298</v>
      </c>
      <c r="C138" s="1211">
        <v>98000</v>
      </c>
      <c r="D138" s="1211"/>
      <c r="E138" s="1211">
        <f t="shared" si="7"/>
        <v>98000</v>
      </c>
      <c r="F138" s="968"/>
      <c r="G138" s="1211"/>
      <c r="H138" s="968">
        <f t="shared" si="10"/>
        <v>0</v>
      </c>
      <c r="I138" s="968"/>
      <c r="J138" s="968"/>
      <c r="K138" s="968">
        <f t="shared" si="11"/>
        <v>98000</v>
      </c>
    </row>
    <row r="139" spans="1:11" ht="54">
      <c r="A139" s="966">
        <v>98</v>
      </c>
      <c r="B139" s="1207" t="s">
        <v>299</v>
      </c>
      <c r="C139" s="1211">
        <v>98000</v>
      </c>
      <c r="D139" s="1211"/>
      <c r="E139" s="1211">
        <f t="shared" si="7"/>
        <v>98000</v>
      </c>
      <c r="F139" s="968"/>
      <c r="G139" s="1211"/>
      <c r="H139" s="968">
        <f t="shared" si="10"/>
        <v>0</v>
      </c>
      <c r="I139" s="968"/>
      <c r="J139" s="968"/>
      <c r="K139" s="968">
        <f t="shared" si="11"/>
        <v>98000</v>
      </c>
    </row>
    <row r="140" spans="1:11" ht="36">
      <c r="A140" s="966">
        <v>99</v>
      </c>
      <c r="B140" s="1207" t="s">
        <v>300</v>
      </c>
      <c r="C140" s="1211">
        <v>500000</v>
      </c>
      <c r="D140" s="1211">
        <v>300000</v>
      </c>
      <c r="E140" s="1211">
        <f t="shared" si="7"/>
        <v>800000</v>
      </c>
      <c r="F140" s="968"/>
      <c r="G140" s="1211">
        <v>52176</v>
      </c>
      <c r="H140" s="968">
        <f t="shared" si="10"/>
        <v>52176</v>
      </c>
      <c r="I140" s="968"/>
      <c r="J140" s="968"/>
      <c r="K140" s="968">
        <f t="shared" si="11"/>
        <v>747824</v>
      </c>
    </row>
    <row r="141" spans="1:11" ht="36">
      <c r="A141" s="966">
        <v>100</v>
      </c>
      <c r="B141" s="1207" t="s">
        <v>301</v>
      </c>
      <c r="C141" s="1211">
        <v>10000</v>
      </c>
      <c r="D141" s="1211"/>
      <c r="E141" s="1211">
        <f t="shared" si="7"/>
        <v>10000</v>
      </c>
      <c r="F141" s="968"/>
      <c r="G141" s="1211"/>
      <c r="H141" s="968">
        <f t="shared" si="10"/>
        <v>0</v>
      </c>
      <c r="I141" s="968"/>
      <c r="J141" s="968"/>
      <c r="K141" s="968">
        <f t="shared" si="11"/>
        <v>10000</v>
      </c>
    </row>
    <row r="142" spans="1:11" ht="36">
      <c r="A142" s="966">
        <v>101</v>
      </c>
      <c r="B142" s="1207" t="s">
        <v>302</v>
      </c>
      <c r="C142" s="1211">
        <v>500000</v>
      </c>
      <c r="D142" s="1211"/>
      <c r="E142" s="1211">
        <f t="shared" si="7"/>
        <v>500000</v>
      </c>
      <c r="F142" s="968"/>
      <c r="G142" s="1211"/>
      <c r="H142" s="968">
        <f t="shared" si="10"/>
        <v>0</v>
      </c>
      <c r="I142" s="968"/>
      <c r="J142" s="968"/>
      <c r="K142" s="968">
        <f t="shared" si="11"/>
        <v>500000</v>
      </c>
    </row>
    <row r="143" spans="1:11" ht="36">
      <c r="A143" s="966">
        <v>102</v>
      </c>
      <c r="B143" s="1207" t="s">
        <v>303</v>
      </c>
      <c r="C143" s="1211">
        <v>75000</v>
      </c>
      <c r="D143" s="1211"/>
      <c r="E143" s="1211">
        <f t="shared" si="7"/>
        <v>75000</v>
      </c>
      <c r="F143" s="968"/>
      <c r="G143" s="1211"/>
      <c r="H143" s="968">
        <f t="shared" si="10"/>
        <v>0</v>
      </c>
      <c r="I143" s="968"/>
      <c r="J143" s="968"/>
      <c r="K143" s="968">
        <f t="shared" si="11"/>
        <v>75000</v>
      </c>
    </row>
    <row r="144" spans="1:11" ht="54">
      <c r="A144" s="966">
        <v>103</v>
      </c>
      <c r="B144" s="1207" t="s">
        <v>304</v>
      </c>
      <c r="C144" s="1211">
        <v>25000</v>
      </c>
      <c r="D144" s="1211"/>
      <c r="E144" s="1211">
        <f t="shared" si="7"/>
        <v>25000</v>
      </c>
      <c r="F144" s="968"/>
      <c r="G144" s="1211"/>
      <c r="H144" s="968">
        <f t="shared" si="10"/>
        <v>0</v>
      </c>
      <c r="I144" s="968"/>
      <c r="J144" s="968"/>
      <c r="K144" s="968">
        <f t="shared" si="11"/>
        <v>25000</v>
      </c>
    </row>
    <row r="145" spans="1:11" ht="18.75">
      <c r="A145" s="966">
        <v>104</v>
      </c>
      <c r="B145" s="1208" t="s">
        <v>305</v>
      </c>
      <c r="C145" s="1211">
        <v>10000</v>
      </c>
      <c r="D145" s="1211"/>
      <c r="E145" s="1211">
        <f t="shared" si="7"/>
        <v>10000</v>
      </c>
      <c r="F145" s="968"/>
      <c r="G145" s="1211"/>
      <c r="H145" s="968">
        <f t="shared" si="10"/>
        <v>0</v>
      </c>
      <c r="I145" s="968"/>
      <c r="J145" s="968"/>
      <c r="K145" s="968">
        <f t="shared" si="11"/>
        <v>10000</v>
      </c>
    </row>
    <row r="146" spans="1:11" ht="18.75">
      <c r="A146" s="966">
        <v>105</v>
      </c>
      <c r="B146" s="1208" t="s">
        <v>306</v>
      </c>
      <c r="C146" s="1211">
        <v>43650</v>
      </c>
      <c r="D146" s="1211"/>
      <c r="E146" s="1211">
        <f t="shared" si="7"/>
        <v>43650</v>
      </c>
      <c r="F146" s="968"/>
      <c r="G146" s="1211"/>
      <c r="H146" s="968">
        <f t="shared" si="10"/>
        <v>0</v>
      </c>
      <c r="I146" s="968"/>
      <c r="J146" s="968"/>
      <c r="K146" s="968">
        <f t="shared" si="11"/>
        <v>43650</v>
      </c>
    </row>
    <row r="147" spans="1:11" ht="48">
      <c r="A147" s="966">
        <v>106</v>
      </c>
      <c r="B147" s="1213" t="s">
        <v>307</v>
      </c>
      <c r="C147" s="1211">
        <v>243201</v>
      </c>
      <c r="D147" s="1211"/>
      <c r="E147" s="1211">
        <f t="shared" si="7"/>
        <v>243201</v>
      </c>
      <c r="F147" s="968"/>
      <c r="G147" s="1211"/>
      <c r="H147" s="968">
        <f t="shared" si="10"/>
        <v>0</v>
      </c>
      <c r="I147" s="968"/>
      <c r="J147" s="968"/>
      <c r="K147" s="968">
        <f t="shared" si="11"/>
        <v>243201</v>
      </c>
    </row>
    <row r="148" spans="1:11" ht="18.75">
      <c r="A148" s="966">
        <v>107</v>
      </c>
      <c r="B148" s="1208" t="s">
        <v>308</v>
      </c>
      <c r="C148" s="1211">
        <v>75000</v>
      </c>
      <c r="D148" s="1211"/>
      <c r="E148" s="1211">
        <f t="shared" si="7"/>
        <v>75000</v>
      </c>
      <c r="F148" s="968"/>
      <c r="G148" s="1211"/>
      <c r="H148" s="968">
        <f t="shared" si="10"/>
        <v>0</v>
      </c>
      <c r="I148" s="968"/>
      <c r="J148" s="968"/>
      <c r="K148" s="968">
        <f t="shared" si="11"/>
        <v>75000</v>
      </c>
    </row>
    <row r="149" spans="1:11" ht="18.75">
      <c r="A149" s="966">
        <v>108</v>
      </c>
      <c r="B149" s="1208" t="s">
        <v>309</v>
      </c>
      <c r="C149" s="1211">
        <v>75000</v>
      </c>
      <c r="D149" s="1211"/>
      <c r="E149" s="1211">
        <f t="shared" si="7"/>
        <v>75000</v>
      </c>
      <c r="F149" s="968"/>
      <c r="G149" s="1211"/>
      <c r="H149" s="968">
        <f t="shared" si="10"/>
        <v>0</v>
      </c>
      <c r="I149" s="968"/>
      <c r="J149" s="968"/>
      <c r="K149" s="968">
        <f t="shared" si="11"/>
        <v>75000</v>
      </c>
    </row>
    <row r="150" spans="1:11" ht="18.75">
      <c r="A150" s="966">
        <v>109</v>
      </c>
      <c r="B150" s="1208" t="s">
        <v>310</v>
      </c>
      <c r="C150" s="1211">
        <v>20000</v>
      </c>
      <c r="D150" s="1211"/>
      <c r="E150" s="1211">
        <f t="shared" si="7"/>
        <v>20000</v>
      </c>
      <c r="F150" s="968"/>
      <c r="G150" s="1211"/>
      <c r="H150" s="968">
        <f t="shared" si="10"/>
        <v>0</v>
      </c>
      <c r="I150" s="968"/>
      <c r="J150" s="968"/>
      <c r="K150" s="968">
        <f t="shared" si="11"/>
        <v>20000</v>
      </c>
    </row>
    <row r="151" spans="1:11" ht="32.25">
      <c r="A151" s="966">
        <v>110</v>
      </c>
      <c r="B151" s="1213" t="s">
        <v>311</v>
      </c>
      <c r="C151" s="1211">
        <v>200000</v>
      </c>
      <c r="D151" s="1211"/>
      <c r="E151" s="1211">
        <f t="shared" si="7"/>
        <v>200000</v>
      </c>
      <c r="F151" s="968"/>
      <c r="G151" s="1211"/>
      <c r="H151" s="968">
        <f t="shared" si="10"/>
        <v>0</v>
      </c>
      <c r="I151" s="968"/>
      <c r="J151" s="968"/>
      <c r="K151" s="968">
        <f t="shared" si="11"/>
        <v>200000</v>
      </c>
    </row>
    <row r="152" spans="1:11" ht="18.75">
      <c r="A152" s="966">
        <v>111</v>
      </c>
      <c r="B152" s="1213" t="s">
        <v>312</v>
      </c>
      <c r="C152" s="1211">
        <v>111240</v>
      </c>
      <c r="D152" s="1211"/>
      <c r="E152" s="1211">
        <f t="shared" si="7"/>
        <v>111240</v>
      </c>
      <c r="F152" s="968"/>
      <c r="G152" s="1211"/>
      <c r="H152" s="968">
        <f t="shared" si="10"/>
        <v>0</v>
      </c>
      <c r="I152" s="968"/>
      <c r="J152" s="968"/>
      <c r="K152" s="968">
        <f t="shared" si="11"/>
        <v>111240</v>
      </c>
    </row>
    <row r="153" spans="1:11" ht="18.75">
      <c r="A153" s="966">
        <v>112</v>
      </c>
      <c r="B153" s="1213" t="s">
        <v>313</v>
      </c>
      <c r="C153" s="1211">
        <v>270000</v>
      </c>
      <c r="D153" s="1211"/>
      <c r="E153" s="1211">
        <f t="shared" si="7"/>
        <v>270000</v>
      </c>
      <c r="F153" s="968"/>
      <c r="G153" s="1211"/>
      <c r="H153" s="968">
        <f t="shared" si="10"/>
        <v>0</v>
      </c>
      <c r="I153" s="968"/>
      <c r="J153" s="968"/>
      <c r="K153" s="968">
        <f t="shared" si="11"/>
        <v>270000</v>
      </c>
    </row>
    <row r="154" spans="1:11" ht="32.25">
      <c r="A154" s="966">
        <v>113</v>
      </c>
      <c r="B154" s="1213" t="s">
        <v>314</v>
      </c>
      <c r="C154" s="1211">
        <v>25000</v>
      </c>
      <c r="D154" s="1211"/>
      <c r="E154" s="1211">
        <f t="shared" si="7"/>
        <v>25000</v>
      </c>
      <c r="F154" s="968"/>
      <c r="G154" s="1211"/>
      <c r="H154" s="968">
        <f t="shared" si="10"/>
        <v>0</v>
      </c>
      <c r="I154" s="968"/>
      <c r="J154" s="968"/>
      <c r="K154" s="968">
        <f t="shared" si="11"/>
        <v>25000</v>
      </c>
    </row>
    <row r="155" spans="1:11" ht="18.75">
      <c r="A155" s="966">
        <v>114</v>
      </c>
      <c r="B155" s="1213" t="s">
        <v>315</v>
      </c>
      <c r="C155" s="1211">
        <v>20000</v>
      </c>
      <c r="D155" s="1211"/>
      <c r="E155" s="1211">
        <f t="shared" si="7"/>
        <v>20000</v>
      </c>
      <c r="F155" s="968"/>
      <c r="G155" s="1211"/>
      <c r="H155" s="968">
        <f t="shared" si="10"/>
        <v>0</v>
      </c>
      <c r="I155" s="968"/>
      <c r="J155" s="968"/>
      <c r="K155" s="968">
        <f t="shared" si="11"/>
        <v>20000</v>
      </c>
    </row>
    <row r="156" spans="1:11" ht="18.75">
      <c r="A156" s="966">
        <v>115</v>
      </c>
      <c r="B156" s="1213" t="s">
        <v>316</v>
      </c>
      <c r="C156" s="1211">
        <v>30000</v>
      </c>
      <c r="D156" s="1211"/>
      <c r="E156" s="1211">
        <f t="shared" si="7"/>
        <v>30000</v>
      </c>
      <c r="F156" s="968"/>
      <c r="G156" s="1211"/>
      <c r="H156" s="968">
        <f t="shared" si="10"/>
        <v>0</v>
      </c>
      <c r="I156" s="968"/>
      <c r="J156" s="968"/>
      <c r="K156" s="968">
        <f t="shared" si="11"/>
        <v>30000</v>
      </c>
    </row>
    <row r="157" spans="1:11" ht="18.75">
      <c r="A157" s="966">
        <v>116</v>
      </c>
      <c r="B157" s="1213" t="s">
        <v>317</v>
      </c>
      <c r="C157" s="1211">
        <v>50000</v>
      </c>
      <c r="D157" s="1211"/>
      <c r="E157" s="1211">
        <f t="shared" si="7"/>
        <v>50000</v>
      </c>
      <c r="F157" s="968"/>
      <c r="G157" s="1211"/>
      <c r="H157" s="968">
        <f t="shared" si="10"/>
        <v>0</v>
      </c>
      <c r="I157" s="968"/>
      <c r="J157" s="968"/>
      <c r="K157" s="968">
        <f t="shared" si="11"/>
        <v>50000</v>
      </c>
    </row>
    <row r="158" spans="1:11" ht="18.75">
      <c r="A158" s="966">
        <v>117</v>
      </c>
      <c r="B158" s="1213" t="s">
        <v>318</v>
      </c>
      <c r="C158" s="1211">
        <v>25000</v>
      </c>
      <c r="D158" s="1211"/>
      <c r="E158" s="1211">
        <f t="shared" si="7"/>
        <v>25000</v>
      </c>
      <c r="F158" s="968"/>
      <c r="G158" s="1211"/>
      <c r="H158" s="968">
        <f t="shared" si="10"/>
        <v>0</v>
      </c>
      <c r="I158" s="968"/>
      <c r="J158" s="968"/>
      <c r="K158" s="968">
        <f t="shared" si="11"/>
        <v>25000</v>
      </c>
    </row>
    <row r="159" spans="1:11" ht="18.75">
      <c r="A159" s="966">
        <v>118</v>
      </c>
      <c r="B159" s="1213" t="s">
        <v>319</v>
      </c>
      <c r="C159" s="1211">
        <v>50000</v>
      </c>
      <c r="D159" s="1211"/>
      <c r="E159" s="1211">
        <f t="shared" si="7"/>
        <v>50000</v>
      </c>
      <c r="F159" s="968"/>
      <c r="G159" s="1211"/>
      <c r="H159" s="968">
        <f t="shared" si="10"/>
        <v>0</v>
      </c>
      <c r="I159" s="968"/>
      <c r="J159" s="968"/>
      <c r="K159" s="968">
        <f t="shared" si="11"/>
        <v>50000</v>
      </c>
    </row>
    <row r="160" spans="1:11" ht="18.75">
      <c r="A160" s="966">
        <v>119</v>
      </c>
      <c r="B160" s="1213" t="s">
        <v>320</v>
      </c>
      <c r="C160" s="1211">
        <v>100000</v>
      </c>
      <c r="D160" s="1211"/>
      <c r="E160" s="1211">
        <f t="shared" si="7"/>
        <v>100000</v>
      </c>
      <c r="F160" s="968"/>
      <c r="G160" s="1211"/>
      <c r="H160" s="968">
        <f t="shared" si="10"/>
        <v>0</v>
      </c>
      <c r="I160" s="968"/>
      <c r="J160" s="968"/>
      <c r="K160" s="968">
        <f t="shared" si="11"/>
        <v>100000</v>
      </c>
    </row>
    <row r="161" spans="1:11" ht="18.75">
      <c r="A161" s="966">
        <v>120</v>
      </c>
      <c r="B161" s="1213" t="s">
        <v>321</v>
      </c>
      <c r="C161" s="1211">
        <v>40000</v>
      </c>
      <c r="D161" s="1211"/>
      <c r="E161" s="1211">
        <f t="shared" si="7"/>
        <v>40000</v>
      </c>
      <c r="F161" s="968"/>
      <c r="G161" s="1211"/>
      <c r="H161" s="968">
        <f t="shared" si="10"/>
        <v>0</v>
      </c>
      <c r="I161" s="968"/>
      <c r="J161" s="968"/>
      <c r="K161" s="968">
        <f t="shared" si="11"/>
        <v>40000</v>
      </c>
    </row>
    <row r="162" spans="1:11" ht="32.25">
      <c r="A162" s="966">
        <v>121</v>
      </c>
      <c r="B162" s="1213" t="s">
        <v>322</v>
      </c>
      <c r="C162" s="1211">
        <v>75000</v>
      </c>
      <c r="D162" s="1211"/>
      <c r="E162" s="1211">
        <f t="shared" si="7"/>
        <v>75000</v>
      </c>
      <c r="F162" s="968"/>
      <c r="G162" s="1211"/>
      <c r="H162" s="968">
        <f t="shared" si="10"/>
        <v>0</v>
      </c>
      <c r="I162" s="968"/>
      <c r="J162" s="1140"/>
      <c r="K162" s="968">
        <f t="shared" si="11"/>
        <v>75000</v>
      </c>
    </row>
    <row r="163" spans="1:11" ht="32.25">
      <c r="A163" s="966">
        <v>122</v>
      </c>
      <c r="B163" s="1213" t="s">
        <v>323</v>
      </c>
      <c r="C163" s="1211">
        <v>200000</v>
      </c>
      <c r="D163" s="1211"/>
      <c r="E163" s="1211">
        <f t="shared" si="7"/>
        <v>200000</v>
      </c>
      <c r="F163" s="1140"/>
      <c r="G163" s="1211"/>
      <c r="H163" s="968">
        <f t="shared" si="10"/>
        <v>0</v>
      </c>
      <c r="I163" s="968"/>
      <c r="J163" s="968"/>
      <c r="K163" s="968">
        <f t="shared" si="11"/>
        <v>200000</v>
      </c>
    </row>
    <row r="164" spans="1:11" ht="18.75">
      <c r="A164" s="966">
        <v>123</v>
      </c>
      <c r="B164" s="1213" t="s">
        <v>1923</v>
      </c>
      <c r="C164" s="1211">
        <v>0</v>
      </c>
      <c r="D164" s="1211"/>
      <c r="E164" s="1211">
        <f t="shared" si="7"/>
        <v>0</v>
      </c>
      <c r="F164" s="968"/>
      <c r="G164" s="1211"/>
      <c r="H164" s="968">
        <f t="shared" si="10"/>
        <v>0</v>
      </c>
      <c r="I164" s="968"/>
      <c r="J164" s="968"/>
      <c r="K164" s="968">
        <f t="shared" si="11"/>
        <v>0</v>
      </c>
    </row>
    <row r="165" spans="1:11" ht="36.75">
      <c r="A165" s="966">
        <v>124</v>
      </c>
      <c r="B165" s="1215" t="s">
        <v>324</v>
      </c>
      <c r="C165" s="1211">
        <v>67500</v>
      </c>
      <c r="D165" s="1211"/>
      <c r="E165" s="1211">
        <f t="shared" si="7"/>
        <v>67500</v>
      </c>
      <c r="F165" s="968"/>
      <c r="G165" s="1211"/>
      <c r="H165" s="968">
        <f t="shared" si="10"/>
        <v>0</v>
      </c>
      <c r="I165" s="968"/>
      <c r="J165" s="968"/>
      <c r="K165" s="968">
        <f t="shared" si="11"/>
        <v>67500</v>
      </c>
    </row>
    <row r="166" spans="1:11" ht="18.75">
      <c r="A166" s="966">
        <v>125</v>
      </c>
      <c r="B166" s="1215" t="s">
        <v>325</v>
      </c>
      <c r="C166" s="1211">
        <v>25000</v>
      </c>
      <c r="D166" s="1211"/>
      <c r="E166" s="1211">
        <f t="shared" si="7"/>
        <v>25000</v>
      </c>
      <c r="F166" s="968"/>
      <c r="G166" s="1211"/>
      <c r="H166" s="968">
        <f t="shared" si="10"/>
        <v>0</v>
      </c>
      <c r="I166" s="968"/>
      <c r="J166" s="968"/>
      <c r="K166" s="968">
        <f t="shared" si="11"/>
        <v>25000</v>
      </c>
    </row>
    <row r="167" spans="1:11" ht="54.75">
      <c r="A167" s="966">
        <v>126</v>
      </c>
      <c r="B167" s="1215" t="s">
        <v>326</v>
      </c>
      <c r="C167" s="1211">
        <v>18000</v>
      </c>
      <c r="D167" s="1211"/>
      <c r="E167" s="1211">
        <f t="shared" si="7"/>
        <v>18000</v>
      </c>
      <c r="F167" s="968"/>
      <c r="G167" s="1211"/>
      <c r="H167" s="968">
        <f t="shared" si="10"/>
        <v>0</v>
      </c>
      <c r="I167" s="968"/>
      <c r="J167" s="968"/>
      <c r="K167" s="968">
        <f t="shared" si="11"/>
        <v>18000</v>
      </c>
    </row>
    <row r="168" spans="1:11" ht="36.75">
      <c r="A168" s="966">
        <v>127</v>
      </c>
      <c r="B168" s="1215" t="s">
        <v>327</v>
      </c>
      <c r="C168" s="1211">
        <v>180000</v>
      </c>
      <c r="D168" s="1211"/>
      <c r="E168" s="1211">
        <f t="shared" si="7"/>
        <v>180000</v>
      </c>
      <c r="G168" s="1211"/>
      <c r="H168" s="968">
        <f t="shared" si="10"/>
        <v>0</v>
      </c>
      <c r="I168" s="968"/>
      <c r="J168" s="968"/>
      <c r="K168" s="968">
        <f t="shared" si="11"/>
        <v>180000</v>
      </c>
    </row>
    <row r="169" spans="1:11" ht="36.75">
      <c r="A169" s="966">
        <v>128</v>
      </c>
      <c r="B169" s="1215" t="s">
        <v>328</v>
      </c>
      <c r="C169" s="1211">
        <v>25000</v>
      </c>
      <c r="D169" s="1211"/>
      <c r="E169" s="1211">
        <f t="shared" si="7"/>
        <v>25000</v>
      </c>
      <c r="F169" s="968"/>
      <c r="G169" s="1211"/>
      <c r="H169" s="968">
        <f t="shared" si="10"/>
        <v>0</v>
      </c>
      <c r="I169" s="968"/>
      <c r="J169" s="968"/>
      <c r="K169" s="968">
        <f t="shared" si="11"/>
        <v>25000</v>
      </c>
    </row>
    <row r="170" spans="1:11" ht="54.75">
      <c r="A170" s="966">
        <v>129</v>
      </c>
      <c r="B170" s="1215" t="s">
        <v>329</v>
      </c>
      <c r="C170" s="1211">
        <v>211864</v>
      </c>
      <c r="D170" s="1211"/>
      <c r="E170" s="1211">
        <f t="shared" si="7"/>
        <v>211864</v>
      </c>
      <c r="F170" s="968"/>
      <c r="G170" s="1211"/>
      <c r="H170" s="968">
        <f t="shared" si="10"/>
        <v>0</v>
      </c>
      <c r="I170" s="968"/>
      <c r="J170" s="968"/>
      <c r="K170" s="968">
        <f t="shared" si="11"/>
        <v>211864</v>
      </c>
    </row>
    <row r="171" spans="1:11" ht="72.75">
      <c r="A171" s="966">
        <v>130</v>
      </c>
      <c r="B171" s="1215" t="s">
        <v>330</v>
      </c>
      <c r="C171" s="1211">
        <v>106375</v>
      </c>
      <c r="D171" s="1211"/>
      <c r="E171" s="1211">
        <f t="shared" si="7"/>
        <v>106375</v>
      </c>
      <c r="F171" s="968"/>
      <c r="G171" s="1211"/>
      <c r="H171" s="968">
        <f t="shared" si="10"/>
        <v>0</v>
      </c>
      <c r="I171" s="968"/>
      <c r="J171" s="968"/>
      <c r="K171" s="968">
        <f t="shared" si="11"/>
        <v>106375</v>
      </c>
    </row>
    <row r="172" spans="1:11" ht="54.75">
      <c r="A172" s="966">
        <v>131</v>
      </c>
      <c r="B172" s="1215" t="s">
        <v>331</v>
      </c>
      <c r="C172" s="1211">
        <v>120000</v>
      </c>
      <c r="D172" s="1211"/>
      <c r="E172" s="1211">
        <f t="shared" si="7"/>
        <v>120000</v>
      </c>
      <c r="F172" s="968"/>
      <c r="G172" s="1211"/>
      <c r="H172" s="968">
        <f t="shared" si="10"/>
        <v>0</v>
      </c>
      <c r="I172" s="968"/>
      <c r="J172" s="968"/>
      <c r="K172" s="968">
        <f t="shared" si="11"/>
        <v>120000</v>
      </c>
    </row>
    <row r="173" spans="1:11" ht="30">
      <c r="A173" s="966">
        <v>132</v>
      </c>
      <c r="B173" s="1216" t="s">
        <v>332</v>
      </c>
      <c r="C173" s="1211">
        <v>30000</v>
      </c>
      <c r="D173" s="1211"/>
      <c r="E173" s="1211">
        <f t="shared" si="7"/>
        <v>30000</v>
      </c>
      <c r="F173" s="968"/>
      <c r="G173" s="1211"/>
      <c r="H173" s="968">
        <f t="shared" si="10"/>
        <v>0</v>
      </c>
      <c r="I173" s="968"/>
      <c r="J173" s="968"/>
      <c r="K173" s="968">
        <f t="shared" si="11"/>
        <v>30000</v>
      </c>
    </row>
    <row r="174" spans="1:11" ht="28.5">
      <c r="A174" s="966">
        <v>133</v>
      </c>
      <c r="B174" s="1217" t="s">
        <v>333</v>
      </c>
      <c r="C174" s="1211">
        <v>18000</v>
      </c>
      <c r="D174" s="1211"/>
      <c r="E174" s="1211">
        <f t="shared" si="7"/>
        <v>18000</v>
      </c>
      <c r="F174" s="968"/>
      <c r="G174" s="1211"/>
      <c r="H174" s="968">
        <f t="shared" si="10"/>
        <v>0</v>
      </c>
      <c r="I174" s="968"/>
      <c r="J174" s="968"/>
      <c r="K174" s="968">
        <f t="shared" si="11"/>
        <v>18000</v>
      </c>
    </row>
    <row r="175" spans="1:11" ht="42.75">
      <c r="A175" s="966">
        <v>134</v>
      </c>
      <c r="B175" s="1217" t="s">
        <v>334</v>
      </c>
      <c r="C175" s="1211">
        <v>75000</v>
      </c>
      <c r="D175" s="1211"/>
      <c r="E175" s="1211">
        <f t="shared" si="7"/>
        <v>75000</v>
      </c>
      <c r="F175" s="968"/>
      <c r="G175" s="1211"/>
      <c r="H175" s="968">
        <f t="shared" si="10"/>
        <v>0</v>
      </c>
      <c r="I175" s="968"/>
      <c r="J175" s="968"/>
      <c r="K175" s="968">
        <f t="shared" si="11"/>
        <v>75000</v>
      </c>
    </row>
    <row r="176" spans="1:11" ht="18.75">
      <c r="A176" s="966">
        <v>135</v>
      </c>
      <c r="B176" s="1209" t="s">
        <v>335</v>
      </c>
      <c r="C176" s="1211">
        <v>282741</v>
      </c>
      <c r="D176" s="1211"/>
      <c r="E176" s="1211">
        <f t="shared" si="7"/>
        <v>282741</v>
      </c>
      <c r="F176" s="968"/>
      <c r="G176" s="1211"/>
      <c r="H176" s="968">
        <f t="shared" si="10"/>
        <v>0</v>
      </c>
      <c r="I176" s="968"/>
      <c r="J176" s="968"/>
      <c r="K176" s="968">
        <f t="shared" si="11"/>
        <v>282741</v>
      </c>
    </row>
    <row r="177" spans="1:11" ht="18.75">
      <c r="A177" s="966">
        <v>136</v>
      </c>
      <c r="B177" s="1210" t="s">
        <v>336</v>
      </c>
      <c r="C177" s="1211">
        <v>0</v>
      </c>
      <c r="D177" s="1211"/>
      <c r="E177" s="1211">
        <f t="shared" si="7"/>
        <v>0</v>
      </c>
      <c r="F177" s="968"/>
      <c r="G177" s="1211"/>
      <c r="H177" s="968">
        <f t="shared" si="10"/>
        <v>0</v>
      </c>
      <c r="I177" s="968"/>
      <c r="J177" s="1140"/>
      <c r="K177" s="968">
        <f t="shared" si="11"/>
        <v>0</v>
      </c>
    </row>
    <row r="178" spans="1:11" ht="18.75">
      <c r="A178" s="966">
        <v>137</v>
      </c>
      <c r="B178" s="1218" t="s">
        <v>337</v>
      </c>
      <c r="C178" s="1211">
        <v>85198</v>
      </c>
      <c r="D178" s="1211"/>
      <c r="E178" s="1211">
        <f t="shared" si="7"/>
        <v>85198</v>
      </c>
      <c r="F178" s="1140"/>
      <c r="G178" s="1211"/>
      <c r="H178" s="968">
        <f t="shared" si="10"/>
        <v>0</v>
      </c>
      <c r="I178" s="1142"/>
      <c r="J178" s="968"/>
      <c r="K178" s="968">
        <f t="shared" si="11"/>
        <v>85198</v>
      </c>
    </row>
    <row r="179" spans="1:11" ht="18.75">
      <c r="A179" s="966">
        <v>138</v>
      </c>
      <c r="B179" s="1213" t="s">
        <v>338</v>
      </c>
      <c r="C179" s="1211">
        <v>174847</v>
      </c>
      <c r="D179" s="1211"/>
      <c r="E179" s="1211">
        <f t="shared" si="7"/>
        <v>174847</v>
      </c>
      <c r="F179" s="968"/>
      <c r="G179" s="1211"/>
      <c r="H179" s="968">
        <f t="shared" si="10"/>
        <v>0</v>
      </c>
      <c r="I179" s="968"/>
      <c r="J179" s="968"/>
      <c r="K179" s="968">
        <f t="shared" si="11"/>
        <v>174847</v>
      </c>
    </row>
    <row r="180" spans="1:11" ht="32.25">
      <c r="A180" s="966">
        <v>139</v>
      </c>
      <c r="B180" s="1213" t="s">
        <v>339</v>
      </c>
      <c r="C180" s="1211">
        <v>396829</v>
      </c>
      <c r="D180" s="1211"/>
      <c r="E180" s="1211">
        <f t="shared" si="7"/>
        <v>396829</v>
      </c>
      <c r="F180" s="968"/>
      <c r="G180" s="1211"/>
      <c r="H180" s="968">
        <f t="shared" si="10"/>
        <v>0</v>
      </c>
      <c r="I180" s="968"/>
      <c r="J180" s="968"/>
      <c r="K180" s="968">
        <f t="shared" si="11"/>
        <v>396829</v>
      </c>
    </row>
    <row r="181" spans="1:11" ht="32.25">
      <c r="A181" s="966">
        <v>140</v>
      </c>
      <c r="B181" s="1213" t="s">
        <v>340</v>
      </c>
      <c r="C181" s="1211">
        <v>133200</v>
      </c>
      <c r="D181" s="1211"/>
      <c r="E181" s="1211">
        <f t="shared" si="7"/>
        <v>133200</v>
      </c>
      <c r="F181" s="968"/>
      <c r="G181" s="1211"/>
      <c r="H181" s="968">
        <f t="shared" si="10"/>
        <v>0</v>
      </c>
      <c r="I181" s="968"/>
      <c r="J181" s="968"/>
      <c r="K181" s="968">
        <f t="shared" si="11"/>
        <v>133200</v>
      </c>
    </row>
    <row r="182" spans="1:11" ht="48">
      <c r="A182" s="966">
        <v>141</v>
      </c>
      <c r="B182" s="1213" t="s">
        <v>341</v>
      </c>
      <c r="C182" s="1211">
        <v>890938</v>
      </c>
      <c r="D182" s="1211"/>
      <c r="E182" s="1211">
        <f t="shared" si="7"/>
        <v>890938</v>
      </c>
      <c r="F182" s="968"/>
      <c r="G182" s="1211">
        <v>504773</v>
      </c>
      <c r="H182" s="968">
        <f t="shared" si="10"/>
        <v>504773</v>
      </c>
      <c r="I182" s="968"/>
      <c r="J182" s="968"/>
      <c r="K182" s="968">
        <f t="shared" si="11"/>
        <v>386165</v>
      </c>
    </row>
    <row r="183" spans="1:11" ht="72.75">
      <c r="A183" s="966">
        <v>142</v>
      </c>
      <c r="B183" s="1215" t="s">
        <v>342</v>
      </c>
      <c r="C183" s="1211">
        <v>68796</v>
      </c>
      <c r="D183" s="1211"/>
      <c r="E183" s="1211">
        <f t="shared" si="7"/>
        <v>68796</v>
      </c>
      <c r="F183" s="968"/>
      <c r="G183" s="1211"/>
      <c r="H183" s="968">
        <f t="shared" si="10"/>
        <v>0</v>
      </c>
      <c r="I183" s="968"/>
      <c r="J183" s="968"/>
      <c r="K183" s="968">
        <f t="shared" si="11"/>
        <v>68796</v>
      </c>
    </row>
    <row r="184" spans="1:11" ht="32.25">
      <c r="A184" s="966">
        <v>143</v>
      </c>
      <c r="B184" s="1213" t="s">
        <v>343</v>
      </c>
      <c r="C184" s="1211">
        <v>25000</v>
      </c>
      <c r="D184" s="1211"/>
      <c r="E184" s="1211">
        <f t="shared" si="7"/>
        <v>25000</v>
      </c>
      <c r="F184" s="968"/>
      <c r="G184" s="1211"/>
      <c r="H184" s="968">
        <f t="shared" si="10"/>
        <v>0</v>
      </c>
      <c r="I184" s="968"/>
      <c r="J184" s="968"/>
      <c r="K184" s="968">
        <f t="shared" si="11"/>
        <v>25000</v>
      </c>
    </row>
    <row r="185" spans="1:11" ht="32.25">
      <c r="A185" s="966">
        <v>144</v>
      </c>
      <c r="B185" s="1213" t="s">
        <v>344</v>
      </c>
      <c r="C185" s="1211">
        <v>36284</v>
      </c>
      <c r="D185" s="1211"/>
      <c r="E185" s="1211">
        <f t="shared" si="7"/>
        <v>36284</v>
      </c>
      <c r="F185" s="968"/>
      <c r="G185" s="1211"/>
      <c r="H185" s="968">
        <f t="shared" si="10"/>
        <v>0</v>
      </c>
      <c r="I185" s="968"/>
      <c r="J185" s="968"/>
      <c r="K185" s="968">
        <f t="shared" si="11"/>
        <v>36284</v>
      </c>
    </row>
    <row r="186" spans="1:11" ht="18.75">
      <c r="A186" s="966">
        <v>145</v>
      </c>
      <c r="B186" s="1208" t="s">
        <v>345</v>
      </c>
      <c r="C186" s="1211">
        <v>100000</v>
      </c>
      <c r="D186" s="1211"/>
      <c r="E186" s="1211">
        <f t="shared" si="7"/>
        <v>100000</v>
      </c>
      <c r="F186" s="968"/>
      <c r="G186" s="1211"/>
      <c r="H186" s="968">
        <f t="shared" si="10"/>
        <v>0</v>
      </c>
      <c r="I186" s="968"/>
      <c r="J186" s="968"/>
      <c r="K186" s="968">
        <f t="shared" si="11"/>
        <v>100000</v>
      </c>
    </row>
    <row r="187" spans="1:11" ht="18.75">
      <c r="A187" s="966">
        <v>146</v>
      </c>
      <c r="B187" s="1208" t="s">
        <v>346</v>
      </c>
      <c r="C187" s="1211">
        <v>300000</v>
      </c>
      <c r="D187" s="1211"/>
      <c r="E187" s="1211">
        <f t="shared" si="7"/>
        <v>300000</v>
      </c>
      <c r="F187" s="968"/>
      <c r="G187" s="1211"/>
      <c r="H187" s="968">
        <f t="shared" si="10"/>
        <v>0</v>
      </c>
      <c r="I187" s="968"/>
      <c r="J187" s="968"/>
      <c r="K187" s="968">
        <f t="shared" si="11"/>
        <v>300000</v>
      </c>
    </row>
    <row r="188" spans="1:11" ht="48">
      <c r="A188" s="966">
        <v>147</v>
      </c>
      <c r="B188" s="1213" t="s">
        <v>347</v>
      </c>
      <c r="C188" s="1211">
        <v>60000</v>
      </c>
      <c r="D188" s="1211"/>
      <c r="E188" s="1211">
        <f t="shared" si="7"/>
        <v>60000</v>
      </c>
      <c r="F188" s="968"/>
      <c r="G188" s="1211"/>
      <c r="H188" s="968">
        <f t="shared" si="10"/>
        <v>0</v>
      </c>
      <c r="I188" s="968"/>
      <c r="J188" s="968"/>
      <c r="K188" s="968">
        <f t="shared" si="11"/>
        <v>60000</v>
      </c>
    </row>
    <row r="189" spans="1:11" ht="48">
      <c r="A189" s="966">
        <v>148</v>
      </c>
      <c r="B189" s="1213" t="s">
        <v>348</v>
      </c>
      <c r="C189" s="1211">
        <v>30000</v>
      </c>
      <c r="D189" s="1211"/>
      <c r="E189" s="1211">
        <f t="shared" si="7"/>
        <v>30000</v>
      </c>
      <c r="F189" s="968"/>
      <c r="G189" s="1211"/>
      <c r="H189" s="968">
        <f t="shared" si="10"/>
        <v>0</v>
      </c>
      <c r="I189" s="968"/>
      <c r="J189" s="968"/>
      <c r="K189" s="968">
        <f t="shared" si="11"/>
        <v>30000</v>
      </c>
    </row>
    <row r="190" spans="1:11" ht="48">
      <c r="A190" s="966">
        <v>149</v>
      </c>
      <c r="B190" s="1213" t="s">
        <v>349</v>
      </c>
      <c r="C190" s="1211">
        <v>461700</v>
      </c>
      <c r="D190" s="1211"/>
      <c r="E190" s="1211">
        <f t="shared" si="7"/>
        <v>461700</v>
      </c>
      <c r="F190" s="968"/>
      <c r="G190" s="1211"/>
      <c r="H190" s="968">
        <f t="shared" si="10"/>
        <v>0</v>
      </c>
      <c r="I190" s="968"/>
      <c r="J190" s="968"/>
      <c r="K190" s="968">
        <f t="shared" si="11"/>
        <v>461700</v>
      </c>
    </row>
    <row r="191" spans="1:11" ht="18.75">
      <c r="A191" s="966">
        <v>150</v>
      </c>
      <c r="B191" s="1208" t="s">
        <v>350</v>
      </c>
      <c r="C191" s="1211">
        <v>10000</v>
      </c>
      <c r="D191" s="1211"/>
      <c r="E191" s="1211">
        <f t="shared" si="7"/>
        <v>10000</v>
      </c>
      <c r="F191" s="968"/>
      <c r="G191" s="1211"/>
      <c r="H191" s="968">
        <f t="shared" si="10"/>
        <v>0</v>
      </c>
      <c r="I191" s="968"/>
      <c r="J191" s="968"/>
      <c r="K191" s="968">
        <f t="shared" si="11"/>
        <v>10000</v>
      </c>
    </row>
    <row r="192" spans="1:11" ht="32.25">
      <c r="A192" s="966">
        <v>151</v>
      </c>
      <c r="B192" s="969" t="s">
        <v>351</v>
      </c>
      <c r="C192" s="1211">
        <v>405827</v>
      </c>
      <c r="D192" s="1211"/>
      <c r="E192" s="1211">
        <f t="shared" si="7"/>
        <v>405827</v>
      </c>
      <c r="F192" s="968"/>
      <c r="G192" s="1211"/>
      <c r="H192" s="968">
        <f t="shared" si="10"/>
        <v>0</v>
      </c>
      <c r="I192" s="968"/>
      <c r="J192" s="968"/>
      <c r="K192" s="968">
        <f t="shared" si="11"/>
        <v>405827</v>
      </c>
    </row>
    <row r="193" spans="1:11" ht="18.75">
      <c r="A193" s="966">
        <v>152</v>
      </c>
      <c r="B193" s="1208" t="s">
        <v>352</v>
      </c>
      <c r="C193" s="1211">
        <v>35000</v>
      </c>
      <c r="D193" s="1221"/>
      <c r="E193" s="1211">
        <f t="shared" si="7"/>
        <v>35000</v>
      </c>
      <c r="F193" s="968"/>
      <c r="G193" s="1211"/>
      <c r="H193" s="968">
        <f t="shared" si="10"/>
        <v>0</v>
      </c>
      <c r="I193" s="968"/>
      <c r="J193" s="968"/>
      <c r="K193" s="968">
        <f t="shared" si="11"/>
        <v>35000</v>
      </c>
    </row>
    <row r="194" spans="1:11" ht="18.75">
      <c r="A194" s="966">
        <v>153</v>
      </c>
      <c r="B194" s="1208" t="s">
        <v>353</v>
      </c>
      <c r="C194" s="1211">
        <v>450000</v>
      </c>
      <c r="D194" s="1211"/>
      <c r="E194" s="1211">
        <f t="shared" si="7"/>
        <v>450000</v>
      </c>
      <c r="F194" s="968"/>
      <c r="G194" s="1211"/>
      <c r="H194" s="968">
        <f t="shared" si="10"/>
        <v>0</v>
      </c>
      <c r="I194" s="968"/>
      <c r="J194" s="968"/>
      <c r="K194" s="968">
        <f t="shared" si="11"/>
        <v>450000</v>
      </c>
    </row>
    <row r="195" spans="1:11" ht="32.25">
      <c r="A195" s="966">
        <v>154</v>
      </c>
      <c r="B195" s="1213" t="s">
        <v>354</v>
      </c>
      <c r="C195" s="1211">
        <v>57203</v>
      </c>
      <c r="D195" s="1211"/>
      <c r="E195" s="1211">
        <f t="shared" si="7"/>
        <v>57203</v>
      </c>
      <c r="F195" s="968"/>
      <c r="G195" s="1211"/>
      <c r="H195" s="968">
        <f t="shared" ref="H195:H245" si="12">SUM(F195:G195)</f>
        <v>0</v>
      </c>
      <c r="I195" s="968"/>
      <c r="J195" s="968"/>
      <c r="K195" s="968">
        <f t="shared" ref="K195:K245" si="13">E195-F195-G195-I195-J195</f>
        <v>57203</v>
      </c>
    </row>
    <row r="196" spans="1:11" ht="32.25">
      <c r="A196" s="966">
        <v>155</v>
      </c>
      <c r="B196" s="1213" t="s">
        <v>355</v>
      </c>
      <c r="C196" s="1211">
        <v>75000</v>
      </c>
      <c r="D196" s="1211"/>
      <c r="E196" s="1211">
        <f t="shared" si="7"/>
        <v>75000</v>
      </c>
      <c r="F196" s="968"/>
      <c r="G196" s="1211"/>
      <c r="H196" s="968">
        <f t="shared" si="12"/>
        <v>0</v>
      </c>
      <c r="I196" s="968"/>
      <c r="J196" s="968"/>
      <c r="K196" s="968">
        <f t="shared" si="13"/>
        <v>75000</v>
      </c>
    </row>
    <row r="197" spans="1:11" ht="32.25">
      <c r="A197" s="966">
        <v>156</v>
      </c>
      <c r="B197" s="1213" t="s">
        <v>356</v>
      </c>
      <c r="C197" s="1211">
        <v>240000</v>
      </c>
      <c r="D197" s="1211"/>
      <c r="E197" s="1211">
        <f t="shared" si="7"/>
        <v>240000</v>
      </c>
      <c r="F197" s="968"/>
      <c r="G197" s="1211"/>
      <c r="H197" s="968">
        <f t="shared" si="12"/>
        <v>0</v>
      </c>
      <c r="I197" s="968"/>
      <c r="J197" s="968"/>
      <c r="K197" s="968">
        <f t="shared" si="13"/>
        <v>240000</v>
      </c>
    </row>
    <row r="198" spans="1:11" ht="48">
      <c r="A198" s="966">
        <v>157</v>
      </c>
      <c r="B198" s="1213" t="s">
        <v>357</v>
      </c>
      <c r="C198" s="1211">
        <v>10000</v>
      </c>
      <c r="D198" s="1211"/>
      <c r="E198" s="1211">
        <f t="shared" si="7"/>
        <v>10000</v>
      </c>
      <c r="F198" s="968"/>
      <c r="G198" s="1211"/>
      <c r="H198" s="968">
        <f t="shared" si="12"/>
        <v>0</v>
      </c>
      <c r="I198" s="968"/>
      <c r="J198" s="968"/>
      <c r="K198" s="968">
        <f t="shared" si="13"/>
        <v>10000</v>
      </c>
    </row>
    <row r="199" spans="1:11" ht="18.75">
      <c r="A199" s="966">
        <v>158</v>
      </c>
      <c r="B199" s="1213" t="s">
        <v>358</v>
      </c>
      <c r="C199" s="1211">
        <v>20000</v>
      </c>
      <c r="D199" s="1211"/>
      <c r="E199" s="1211">
        <f t="shared" si="7"/>
        <v>20000</v>
      </c>
      <c r="F199" s="968"/>
      <c r="G199" s="1211"/>
      <c r="H199" s="968">
        <f t="shared" si="12"/>
        <v>0</v>
      </c>
      <c r="I199" s="968"/>
      <c r="J199" s="968"/>
      <c r="K199" s="968">
        <f t="shared" si="13"/>
        <v>20000</v>
      </c>
    </row>
    <row r="200" spans="1:11" ht="18.75">
      <c r="A200" s="966">
        <v>159</v>
      </c>
      <c r="B200" s="1213" t="s">
        <v>359</v>
      </c>
      <c r="C200" s="1211">
        <v>10000</v>
      </c>
      <c r="D200" s="1211"/>
      <c r="E200" s="1211">
        <f t="shared" si="7"/>
        <v>10000</v>
      </c>
      <c r="F200" s="968"/>
      <c r="G200" s="1211"/>
      <c r="H200" s="968">
        <f t="shared" si="12"/>
        <v>0</v>
      </c>
      <c r="I200" s="968"/>
      <c r="J200" s="968"/>
      <c r="K200" s="968">
        <f t="shared" si="13"/>
        <v>10000</v>
      </c>
    </row>
    <row r="201" spans="1:11" ht="18.75">
      <c r="A201" s="966">
        <v>160</v>
      </c>
      <c r="B201" s="1213" t="s">
        <v>360</v>
      </c>
      <c r="C201" s="1211">
        <v>117475</v>
      </c>
      <c r="D201" s="1211"/>
      <c r="E201" s="1211">
        <f t="shared" si="7"/>
        <v>117475</v>
      </c>
      <c r="F201" s="968"/>
      <c r="G201" s="1211"/>
      <c r="H201" s="968">
        <f t="shared" si="12"/>
        <v>0</v>
      </c>
      <c r="I201" s="968"/>
      <c r="J201" s="968"/>
      <c r="K201" s="968">
        <f t="shared" si="13"/>
        <v>117475</v>
      </c>
    </row>
    <row r="202" spans="1:11" ht="18.75">
      <c r="A202" s="966">
        <v>161</v>
      </c>
      <c r="B202" s="1213" t="s">
        <v>361</v>
      </c>
      <c r="C202" s="1211">
        <v>92500</v>
      </c>
      <c r="D202" s="1211"/>
      <c r="E202" s="1211">
        <f t="shared" si="7"/>
        <v>92500</v>
      </c>
      <c r="F202" s="968"/>
      <c r="G202" s="1211"/>
      <c r="H202" s="968">
        <f t="shared" si="12"/>
        <v>0</v>
      </c>
      <c r="I202" s="968"/>
      <c r="J202" s="968"/>
      <c r="K202" s="968">
        <f t="shared" si="13"/>
        <v>92500</v>
      </c>
    </row>
    <row r="203" spans="1:11" ht="47.25">
      <c r="A203" s="966">
        <v>162</v>
      </c>
      <c r="B203" s="978" t="s">
        <v>362</v>
      </c>
      <c r="C203" s="1211">
        <v>42075</v>
      </c>
      <c r="D203" s="1211"/>
      <c r="E203" s="1211">
        <f t="shared" si="7"/>
        <v>42075</v>
      </c>
      <c r="F203" s="968"/>
      <c r="G203" s="1211"/>
      <c r="H203" s="968">
        <f t="shared" ref="H203:H216" si="14">SUM(F203:G203)</f>
        <v>0</v>
      </c>
      <c r="I203" s="968"/>
      <c r="J203" s="968"/>
      <c r="K203" s="968">
        <f t="shared" ref="K203:K216" si="15">E203-F203-G203-I203-J203</f>
        <v>42075</v>
      </c>
    </row>
    <row r="204" spans="1:11" ht="18.75">
      <c r="A204" s="966">
        <v>163</v>
      </c>
      <c r="B204" s="978" t="s">
        <v>363</v>
      </c>
      <c r="C204" s="1211">
        <v>111000</v>
      </c>
      <c r="D204" s="1211"/>
      <c r="E204" s="1211">
        <f t="shared" si="7"/>
        <v>111000</v>
      </c>
      <c r="F204" s="968"/>
      <c r="G204" s="1211"/>
      <c r="H204" s="968">
        <f t="shared" si="14"/>
        <v>0</v>
      </c>
      <c r="I204" s="968"/>
      <c r="J204" s="968"/>
      <c r="K204" s="968">
        <f t="shared" si="15"/>
        <v>111000</v>
      </c>
    </row>
    <row r="205" spans="1:11" ht="31.5">
      <c r="A205" s="966">
        <v>164</v>
      </c>
      <c r="B205" s="978" t="s">
        <v>364</v>
      </c>
      <c r="C205" s="1211">
        <v>100000</v>
      </c>
      <c r="D205" s="1211"/>
      <c r="E205" s="1211">
        <f t="shared" si="7"/>
        <v>100000</v>
      </c>
      <c r="F205" s="968"/>
      <c r="G205" s="1211"/>
      <c r="H205" s="968">
        <f t="shared" si="14"/>
        <v>0</v>
      </c>
      <c r="I205" s="968"/>
      <c r="J205" s="968"/>
      <c r="K205" s="968">
        <f t="shared" si="15"/>
        <v>100000</v>
      </c>
    </row>
    <row r="206" spans="1:11" ht="31.5">
      <c r="A206" s="966">
        <v>165</v>
      </c>
      <c r="B206" s="978" t="s">
        <v>365</v>
      </c>
      <c r="C206" s="1211">
        <v>200000</v>
      </c>
      <c r="D206" s="1211"/>
      <c r="E206" s="1211">
        <f t="shared" si="7"/>
        <v>200000</v>
      </c>
      <c r="F206" s="968"/>
      <c r="G206" s="1211"/>
      <c r="H206" s="968">
        <f t="shared" si="14"/>
        <v>0</v>
      </c>
      <c r="I206" s="968"/>
      <c r="J206" s="968"/>
      <c r="K206" s="968">
        <f t="shared" si="15"/>
        <v>200000</v>
      </c>
    </row>
    <row r="207" spans="1:11" ht="31.5">
      <c r="A207" s="966">
        <v>166</v>
      </c>
      <c r="B207" s="978" t="s">
        <v>366</v>
      </c>
      <c r="C207" s="1211">
        <v>180000</v>
      </c>
      <c r="D207" s="1211"/>
      <c r="E207" s="1211">
        <f t="shared" si="7"/>
        <v>180000</v>
      </c>
      <c r="F207" s="968"/>
      <c r="G207" s="1211"/>
      <c r="H207" s="968">
        <f t="shared" si="14"/>
        <v>0</v>
      </c>
      <c r="I207" s="968"/>
      <c r="J207" s="968"/>
      <c r="K207" s="968">
        <f t="shared" si="15"/>
        <v>180000</v>
      </c>
    </row>
    <row r="208" spans="1:11" ht="47.25">
      <c r="A208" s="966">
        <v>167</v>
      </c>
      <c r="B208" s="978" t="s">
        <v>367</v>
      </c>
      <c r="C208" s="1211">
        <v>36000</v>
      </c>
      <c r="D208" s="1211"/>
      <c r="E208" s="1211">
        <f t="shared" si="7"/>
        <v>36000</v>
      </c>
      <c r="F208" s="968"/>
      <c r="G208" s="1211"/>
      <c r="H208" s="968">
        <f t="shared" si="14"/>
        <v>0</v>
      </c>
      <c r="I208" s="968"/>
      <c r="J208" s="968"/>
      <c r="K208" s="968">
        <f t="shared" si="15"/>
        <v>36000</v>
      </c>
    </row>
    <row r="209" spans="1:11" ht="31.5">
      <c r="A209" s="966">
        <v>168</v>
      </c>
      <c r="B209" s="978" t="s">
        <v>368</v>
      </c>
      <c r="C209" s="1211">
        <v>40000</v>
      </c>
      <c r="D209" s="1211"/>
      <c r="E209" s="1211">
        <f t="shared" si="7"/>
        <v>40000</v>
      </c>
      <c r="F209" s="968"/>
      <c r="G209" s="1211"/>
      <c r="H209" s="968">
        <f t="shared" si="14"/>
        <v>0</v>
      </c>
      <c r="I209" s="968"/>
      <c r="J209" s="968"/>
      <c r="K209" s="968">
        <f t="shared" si="15"/>
        <v>40000</v>
      </c>
    </row>
    <row r="210" spans="1:11" ht="31.5">
      <c r="A210" s="966">
        <v>169</v>
      </c>
      <c r="B210" s="979" t="s">
        <v>388</v>
      </c>
      <c r="C210" s="1211"/>
      <c r="D210" s="1211">
        <v>125000</v>
      </c>
      <c r="E210" s="1211">
        <f t="shared" si="7"/>
        <v>125000</v>
      </c>
      <c r="F210" s="968"/>
      <c r="G210" s="1211"/>
      <c r="H210" s="968">
        <f t="shared" si="14"/>
        <v>0</v>
      </c>
      <c r="I210" s="968"/>
      <c r="J210" s="968"/>
      <c r="K210" s="968">
        <f t="shared" si="15"/>
        <v>125000</v>
      </c>
    </row>
    <row r="211" spans="1:11" ht="31.5">
      <c r="A211" s="966">
        <v>170</v>
      </c>
      <c r="B211" s="967" t="s">
        <v>389</v>
      </c>
      <c r="C211" s="1211"/>
      <c r="D211" s="1211">
        <v>100000</v>
      </c>
      <c r="E211" s="1211">
        <f t="shared" si="7"/>
        <v>100000</v>
      </c>
      <c r="F211" s="968"/>
      <c r="G211" s="1211"/>
      <c r="H211" s="968">
        <f t="shared" si="14"/>
        <v>0</v>
      </c>
      <c r="I211" s="968"/>
      <c r="J211" s="968"/>
      <c r="K211" s="968">
        <f t="shared" si="15"/>
        <v>100000</v>
      </c>
    </row>
    <row r="212" spans="1:11" ht="31.5">
      <c r="A212" s="966">
        <v>171</v>
      </c>
      <c r="B212" s="967" t="s">
        <v>390</v>
      </c>
      <c r="C212" s="1211"/>
      <c r="D212" s="1211">
        <v>150000</v>
      </c>
      <c r="E212" s="1211">
        <f t="shared" si="7"/>
        <v>150000</v>
      </c>
      <c r="F212" s="968"/>
      <c r="G212" s="1211"/>
      <c r="H212" s="968">
        <f t="shared" si="14"/>
        <v>0</v>
      </c>
      <c r="I212" s="968"/>
      <c r="J212" s="968"/>
      <c r="K212" s="968">
        <f t="shared" si="15"/>
        <v>150000</v>
      </c>
    </row>
    <row r="213" spans="1:11" ht="31.5">
      <c r="A213" s="966">
        <v>172</v>
      </c>
      <c r="B213" s="967" t="s">
        <v>391</v>
      </c>
      <c r="C213" s="1211"/>
      <c r="D213" s="1211">
        <v>125000</v>
      </c>
      <c r="E213" s="1211">
        <f t="shared" si="7"/>
        <v>125000</v>
      </c>
      <c r="F213" s="968"/>
      <c r="G213" s="1211"/>
      <c r="H213" s="968">
        <f t="shared" si="14"/>
        <v>0</v>
      </c>
      <c r="I213" s="968"/>
      <c r="J213" s="968"/>
      <c r="K213" s="968">
        <f t="shared" si="15"/>
        <v>125000</v>
      </c>
    </row>
    <row r="214" spans="1:11" ht="31.5">
      <c r="A214" s="966">
        <v>173</v>
      </c>
      <c r="B214" s="967" t="s">
        <v>392</v>
      </c>
      <c r="C214" s="1211"/>
      <c r="D214" s="1211">
        <v>18000</v>
      </c>
      <c r="E214" s="1211">
        <f t="shared" si="7"/>
        <v>18000</v>
      </c>
      <c r="F214" s="968"/>
      <c r="G214" s="1211"/>
      <c r="H214" s="968">
        <f t="shared" si="14"/>
        <v>0</v>
      </c>
      <c r="I214" s="968"/>
      <c r="J214" s="968"/>
      <c r="K214" s="968">
        <f t="shared" si="15"/>
        <v>18000</v>
      </c>
    </row>
    <row r="215" spans="1:11" ht="18.75">
      <c r="A215" s="966">
        <v>174</v>
      </c>
      <c r="B215" s="967" t="s">
        <v>393</v>
      </c>
      <c r="C215" s="1211"/>
      <c r="D215" s="1211">
        <v>50000</v>
      </c>
      <c r="E215" s="1211">
        <f t="shared" si="7"/>
        <v>50000</v>
      </c>
      <c r="F215" s="968"/>
      <c r="G215" s="1211"/>
      <c r="H215" s="968">
        <f t="shared" si="14"/>
        <v>0</v>
      </c>
      <c r="I215" s="968"/>
      <c r="J215" s="968"/>
      <c r="K215" s="968">
        <f t="shared" si="15"/>
        <v>50000</v>
      </c>
    </row>
    <row r="216" spans="1:11" s="19" customFormat="1" ht="18.75">
      <c r="A216" s="966">
        <v>175</v>
      </c>
      <c r="B216" s="967" t="s">
        <v>394</v>
      </c>
      <c r="C216" s="1211"/>
      <c r="D216" s="1211">
        <v>18000</v>
      </c>
      <c r="E216" s="1211">
        <f t="shared" si="7"/>
        <v>18000</v>
      </c>
      <c r="F216" s="1188"/>
      <c r="G216" s="1211"/>
      <c r="H216" s="968">
        <f t="shared" si="14"/>
        <v>0</v>
      </c>
      <c r="I216" s="1188"/>
      <c r="J216" s="1188"/>
      <c r="K216" s="968">
        <f t="shared" si="15"/>
        <v>18000</v>
      </c>
    </row>
    <row r="217" spans="1:11" ht="18.75">
      <c r="A217" s="966">
        <v>176</v>
      </c>
      <c r="B217" s="967" t="s">
        <v>395</v>
      </c>
      <c r="C217" s="1211"/>
      <c r="D217" s="1211">
        <v>50000</v>
      </c>
      <c r="E217" s="1211">
        <f t="shared" si="7"/>
        <v>50000</v>
      </c>
      <c r="F217" s="968"/>
      <c r="G217" s="1211"/>
      <c r="H217" s="968">
        <f t="shared" si="12"/>
        <v>0</v>
      </c>
      <c r="I217" s="968"/>
      <c r="J217" s="968"/>
      <c r="K217" s="968">
        <f t="shared" si="13"/>
        <v>50000</v>
      </c>
    </row>
    <row r="218" spans="1:11" ht="32.25">
      <c r="A218" s="966">
        <v>177</v>
      </c>
      <c r="B218" s="980" t="s">
        <v>396</v>
      </c>
      <c r="C218" s="1211"/>
      <c r="D218" s="1211">
        <v>270000</v>
      </c>
      <c r="E218" s="1211">
        <f t="shared" si="7"/>
        <v>270000</v>
      </c>
      <c r="F218" s="968"/>
      <c r="G218" s="1211"/>
      <c r="H218" s="968">
        <f t="shared" si="12"/>
        <v>0</v>
      </c>
      <c r="I218" s="968"/>
      <c r="J218" s="968"/>
      <c r="K218" s="968">
        <f t="shared" si="13"/>
        <v>270000</v>
      </c>
    </row>
    <row r="219" spans="1:11" ht="48">
      <c r="A219" s="966">
        <v>178</v>
      </c>
      <c r="B219" s="974" t="s">
        <v>397</v>
      </c>
      <c r="C219" s="1211"/>
      <c r="D219" s="1211">
        <v>50000</v>
      </c>
      <c r="E219" s="1211">
        <f t="shared" si="7"/>
        <v>50000</v>
      </c>
      <c r="F219" s="968"/>
      <c r="G219" s="1211"/>
      <c r="H219" s="968">
        <f t="shared" si="12"/>
        <v>0</v>
      </c>
      <c r="I219" s="968"/>
      <c r="J219" s="968"/>
      <c r="K219" s="968">
        <f t="shared" si="13"/>
        <v>50000</v>
      </c>
    </row>
    <row r="220" spans="1:11" ht="18.75">
      <c r="A220" s="966">
        <v>179</v>
      </c>
      <c r="B220" s="977" t="s">
        <v>398</v>
      </c>
      <c r="C220" s="1211"/>
      <c r="D220" s="1211">
        <v>100000</v>
      </c>
      <c r="E220" s="1211">
        <f t="shared" si="7"/>
        <v>100000</v>
      </c>
      <c r="F220" s="968"/>
      <c r="G220" s="1211"/>
      <c r="H220" s="968">
        <f t="shared" si="12"/>
        <v>0</v>
      </c>
      <c r="I220" s="968"/>
      <c r="J220" s="968"/>
      <c r="K220" s="968">
        <f t="shared" si="13"/>
        <v>100000</v>
      </c>
    </row>
    <row r="221" spans="1:11" ht="18.75">
      <c r="A221" s="966">
        <v>180</v>
      </c>
      <c r="B221" s="977" t="s">
        <v>399</v>
      </c>
      <c r="C221" s="1211"/>
      <c r="D221" s="1211">
        <v>17700</v>
      </c>
      <c r="E221" s="1211">
        <f t="shared" si="7"/>
        <v>17700</v>
      </c>
      <c r="F221" s="968"/>
      <c r="G221" s="1211"/>
      <c r="H221" s="968">
        <f t="shared" si="12"/>
        <v>0</v>
      </c>
      <c r="I221" s="968"/>
      <c r="J221" s="968"/>
      <c r="K221" s="968">
        <f t="shared" si="13"/>
        <v>17700</v>
      </c>
    </row>
    <row r="222" spans="1:11" ht="18.75">
      <c r="A222" s="966">
        <v>181</v>
      </c>
      <c r="B222" s="977" t="s">
        <v>400</v>
      </c>
      <c r="C222" s="1211"/>
      <c r="D222" s="1211">
        <v>490000</v>
      </c>
      <c r="E222" s="1211">
        <f t="shared" si="7"/>
        <v>490000</v>
      </c>
      <c r="F222" s="968"/>
      <c r="G222" s="1211"/>
      <c r="H222" s="968">
        <f t="shared" si="12"/>
        <v>0</v>
      </c>
      <c r="I222" s="968"/>
      <c r="J222" s="968"/>
      <c r="K222" s="968">
        <f t="shared" si="13"/>
        <v>490000</v>
      </c>
    </row>
    <row r="223" spans="1:11" ht="18.75">
      <c r="A223" s="966">
        <v>182</v>
      </c>
      <c r="B223" s="977" t="s">
        <v>401</v>
      </c>
      <c r="C223" s="1211"/>
      <c r="D223" s="1211">
        <v>17700</v>
      </c>
      <c r="E223" s="1211">
        <f t="shared" si="7"/>
        <v>17700</v>
      </c>
      <c r="F223" s="968"/>
      <c r="G223" s="1211"/>
      <c r="H223" s="968">
        <f t="shared" si="12"/>
        <v>0</v>
      </c>
      <c r="I223" s="968"/>
      <c r="J223" s="968"/>
      <c r="K223" s="968">
        <f t="shared" si="13"/>
        <v>17700</v>
      </c>
    </row>
    <row r="224" spans="1:11" ht="18.75">
      <c r="A224" s="966">
        <v>183</v>
      </c>
      <c r="B224" s="977" t="s">
        <v>402</v>
      </c>
      <c r="C224" s="1211"/>
      <c r="D224" s="1211">
        <v>88500</v>
      </c>
      <c r="E224" s="1211">
        <f t="shared" si="7"/>
        <v>88500</v>
      </c>
      <c r="F224" s="968"/>
      <c r="G224" s="1211"/>
      <c r="H224" s="968">
        <f t="shared" si="12"/>
        <v>0</v>
      </c>
      <c r="I224" s="968"/>
      <c r="J224" s="968"/>
      <c r="K224" s="968">
        <f t="shared" si="13"/>
        <v>88500</v>
      </c>
    </row>
    <row r="225" spans="1:11" ht="18.75">
      <c r="A225" s="966">
        <v>184</v>
      </c>
      <c r="B225" s="976" t="s">
        <v>403</v>
      </c>
      <c r="C225" s="1211"/>
      <c r="D225" s="1211">
        <v>15000</v>
      </c>
      <c r="E225" s="1211">
        <f t="shared" si="7"/>
        <v>15000</v>
      </c>
      <c r="F225" s="968"/>
      <c r="G225" s="1211"/>
      <c r="H225" s="968">
        <f t="shared" si="12"/>
        <v>0</v>
      </c>
      <c r="I225" s="968"/>
      <c r="J225" s="968"/>
      <c r="K225" s="968">
        <f t="shared" si="13"/>
        <v>15000</v>
      </c>
    </row>
    <row r="226" spans="1:11" ht="48">
      <c r="A226" s="966">
        <v>185</v>
      </c>
      <c r="B226" s="976" t="s">
        <v>404</v>
      </c>
      <c r="C226" s="1211"/>
      <c r="D226" s="1211">
        <v>304180</v>
      </c>
      <c r="E226" s="1211">
        <f t="shared" si="7"/>
        <v>304180</v>
      </c>
      <c r="F226" s="968"/>
      <c r="G226" s="1211">
        <v>258030</v>
      </c>
      <c r="H226" s="968">
        <f t="shared" si="12"/>
        <v>258030</v>
      </c>
      <c r="I226" s="968"/>
      <c r="J226" s="968"/>
      <c r="K226" s="968">
        <f t="shared" si="13"/>
        <v>46150</v>
      </c>
    </row>
    <row r="227" spans="1:11" ht="31.5">
      <c r="A227" s="966">
        <v>186</v>
      </c>
      <c r="B227" s="979" t="s">
        <v>405</v>
      </c>
      <c r="C227" s="1211"/>
      <c r="D227" s="1211">
        <v>150000</v>
      </c>
      <c r="E227" s="1211">
        <f t="shared" si="7"/>
        <v>150000</v>
      </c>
      <c r="F227" s="968"/>
      <c r="G227" s="1211"/>
      <c r="H227" s="968">
        <f t="shared" si="12"/>
        <v>0</v>
      </c>
      <c r="I227" s="968"/>
      <c r="J227" s="968"/>
      <c r="K227" s="968">
        <f t="shared" si="13"/>
        <v>150000</v>
      </c>
    </row>
    <row r="228" spans="1:11" ht="47.25">
      <c r="A228" s="966">
        <v>187</v>
      </c>
      <c r="B228" s="967" t="s">
        <v>406</v>
      </c>
      <c r="C228" s="1211"/>
      <c r="D228" s="1211">
        <v>200000</v>
      </c>
      <c r="E228" s="1211">
        <f t="shared" si="7"/>
        <v>200000</v>
      </c>
      <c r="F228" s="968"/>
      <c r="G228" s="1211"/>
      <c r="H228" s="968">
        <f t="shared" si="12"/>
        <v>0</v>
      </c>
      <c r="I228" s="968"/>
      <c r="J228" s="968"/>
      <c r="K228" s="968">
        <f t="shared" si="13"/>
        <v>200000</v>
      </c>
    </row>
    <row r="229" spans="1:11" ht="18.75">
      <c r="A229" s="966">
        <v>188</v>
      </c>
      <c r="B229" s="967" t="s">
        <v>407</v>
      </c>
      <c r="C229" s="1211"/>
      <c r="D229" s="1211">
        <v>20000</v>
      </c>
      <c r="E229" s="1211">
        <f t="shared" si="7"/>
        <v>20000</v>
      </c>
      <c r="F229" s="968"/>
      <c r="G229" s="1211"/>
      <c r="H229" s="968">
        <f t="shared" si="12"/>
        <v>0</v>
      </c>
      <c r="I229" s="968"/>
      <c r="J229" s="968"/>
      <c r="K229" s="968">
        <f t="shared" si="13"/>
        <v>20000</v>
      </c>
    </row>
    <row r="230" spans="1:11" ht="18.75">
      <c r="A230" s="966">
        <v>189</v>
      </c>
      <c r="B230" s="967" t="s">
        <v>408</v>
      </c>
      <c r="C230" s="1211"/>
      <c r="D230" s="1211">
        <v>5000</v>
      </c>
      <c r="E230" s="1211">
        <f t="shared" si="7"/>
        <v>5000</v>
      </c>
      <c r="F230" s="968"/>
      <c r="G230" s="1211"/>
      <c r="H230" s="968">
        <f t="shared" si="12"/>
        <v>0</v>
      </c>
      <c r="I230" s="968"/>
      <c r="J230" s="968"/>
      <c r="K230" s="968">
        <f t="shared" si="13"/>
        <v>5000</v>
      </c>
    </row>
    <row r="231" spans="1:11" ht="18.75">
      <c r="A231" s="966">
        <v>190</v>
      </c>
      <c r="B231" s="967" t="s">
        <v>409</v>
      </c>
      <c r="C231" s="1211"/>
      <c r="D231" s="1211">
        <v>50000</v>
      </c>
      <c r="E231" s="1211">
        <f t="shared" si="7"/>
        <v>50000</v>
      </c>
      <c r="F231" s="968"/>
      <c r="G231" s="1211"/>
      <c r="H231" s="968">
        <f t="shared" si="12"/>
        <v>0</v>
      </c>
      <c r="I231" s="968"/>
      <c r="J231" s="968"/>
      <c r="K231" s="968">
        <f t="shared" si="13"/>
        <v>50000</v>
      </c>
    </row>
    <row r="232" spans="1:11" ht="18.75">
      <c r="A232" s="966">
        <v>191</v>
      </c>
      <c r="B232" s="967" t="s">
        <v>410</v>
      </c>
      <c r="C232" s="1211"/>
      <c r="D232" s="1211">
        <v>30000</v>
      </c>
      <c r="E232" s="1211">
        <f t="shared" si="7"/>
        <v>30000</v>
      </c>
      <c r="F232" s="968"/>
      <c r="G232" s="1211"/>
      <c r="H232" s="968">
        <f t="shared" si="12"/>
        <v>0</v>
      </c>
      <c r="I232" s="968"/>
      <c r="J232" s="968"/>
      <c r="K232" s="968">
        <f t="shared" si="13"/>
        <v>30000</v>
      </c>
    </row>
    <row r="233" spans="1:11" ht="31.5">
      <c r="A233" s="966">
        <v>192</v>
      </c>
      <c r="B233" s="967" t="s">
        <v>411</v>
      </c>
      <c r="C233" s="1211"/>
      <c r="D233" s="1211">
        <v>3500</v>
      </c>
      <c r="E233" s="1211">
        <f t="shared" si="7"/>
        <v>3500</v>
      </c>
      <c r="F233" s="968"/>
      <c r="G233" s="1211"/>
      <c r="H233" s="968">
        <f t="shared" si="12"/>
        <v>0</v>
      </c>
      <c r="I233" s="968"/>
      <c r="J233" s="968"/>
      <c r="K233" s="968">
        <f t="shared" si="13"/>
        <v>3500</v>
      </c>
    </row>
    <row r="234" spans="1:11" ht="31.5">
      <c r="A234" s="966">
        <v>193</v>
      </c>
      <c r="B234" s="967" t="s">
        <v>412</v>
      </c>
      <c r="C234" s="1211"/>
      <c r="D234" s="1211">
        <v>500000</v>
      </c>
      <c r="E234" s="1211">
        <f t="shared" si="7"/>
        <v>500000</v>
      </c>
      <c r="F234" s="968"/>
      <c r="G234" s="1211"/>
      <c r="H234" s="968">
        <f t="shared" si="12"/>
        <v>0</v>
      </c>
      <c r="I234" s="968"/>
      <c r="J234" s="968"/>
      <c r="K234" s="968">
        <f t="shared" si="13"/>
        <v>500000</v>
      </c>
    </row>
    <row r="235" spans="1:11" ht="63">
      <c r="A235" s="966">
        <v>194</v>
      </c>
      <c r="B235" s="967" t="s">
        <v>413</v>
      </c>
      <c r="C235" s="1211"/>
      <c r="D235" s="1211">
        <v>10000</v>
      </c>
      <c r="E235" s="1211">
        <f t="shared" si="7"/>
        <v>10000</v>
      </c>
      <c r="F235" s="968"/>
      <c r="G235" s="1211"/>
      <c r="H235" s="968">
        <f t="shared" si="12"/>
        <v>0</v>
      </c>
      <c r="I235" s="968"/>
      <c r="J235" s="968"/>
      <c r="K235" s="968">
        <f t="shared" si="13"/>
        <v>10000</v>
      </c>
    </row>
    <row r="236" spans="1:11" ht="63">
      <c r="A236" s="966">
        <v>195</v>
      </c>
      <c r="B236" s="967" t="s">
        <v>414</v>
      </c>
      <c r="C236" s="1211"/>
      <c r="D236" s="1211">
        <v>10000</v>
      </c>
      <c r="E236" s="1211">
        <f t="shared" si="7"/>
        <v>10000</v>
      </c>
      <c r="F236" s="968"/>
      <c r="G236" s="1211"/>
      <c r="H236" s="968">
        <f t="shared" si="12"/>
        <v>0</v>
      </c>
      <c r="I236" s="968"/>
      <c r="J236" s="968"/>
      <c r="K236" s="968">
        <f t="shared" si="13"/>
        <v>10000</v>
      </c>
    </row>
    <row r="237" spans="1:11" ht="18.75">
      <c r="A237" s="966">
        <v>196</v>
      </c>
      <c r="B237" s="975" t="s">
        <v>415</v>
      </c>
      <c r="C237" s="1211"/>
      <c r="D237" s="1211">
        <v>20000</v>
      </c>
      <c r="E237" s="1211">
        <f t="shared" si="7"/>
        <v>20000</v>
      </c>
      <c r="F237" s="968"/>
      <c r="G237" s="1211"/>
      <c r="H237" s="968">
        <f t="shared" si="12"/>
        <v>0</v>
      </c>
      <c r="I237" s="968"/>
      <c r="J237" s="968"/>
      <c r="K237" s="968">
        <f t="shared" si="13"/>
        <v>20000</v>
      </c>
    </row>
    <row r="238" spans="1:11" ht="18.75">
      <c r="A238" s="966">
        <v>197</v>
      </c>
      <c r="B238" s="974" t="s">
        <v>416</v>
      </c>
      <c r="C238" s="1211"/>
      <c r="D238" s="1211">
        <v>98000</v>
      </c>
      <c r="E238" s="1211">
        <f t="shared" si="7"/>
        <v>98000</v>
      </c>
      <c r="F238" s="968"/>
      <c r="G238" s="1211"/>
      <c r="H238" s="968">
        <f t="shared" si="12"/>
        <v>0</v>
      </c>
      <c r="I238" s="968"/>
      <c r="J238" s="968"/>
      <c r="K238" s="968">
        <f t="shared" si="13"/>
        <v>98000</v>
      </c>
    </row>
    <row r="239" spans="1:11" ht="27">
      <c r="A239" s="966">
        <v>198</v>
      </c>
      <c r="B239" s="1219" t="s">
        <v>417</v>
      </c>
      <c r="C239" s="1211"/>
      <c r="D239" s="1211">
        <v>25000</v>
      </c>
      <c r="E239" s="1211">
        <f t="shared" si="7"/>
        <v>25000</v>
      </c>
      <c r="F239" s="968"/>
      <c r="G239" s="1211"/>
      <c r="H239" s="968">
        <f t="shared" si="12"/>
        <v>0</v>
      </c>
      <c r="I239" s="968"/>
      <c r="J239" s="968"/>
      <c r="K239" s="968">
        <f t="shared" si="13"/>
        <v>25000</v>
      </c>
    </row>
    <row r="240" spans="1:11" ht="27.75">
      <c r="A240" s="966">
        <v>199</v>
      </c>
      <c r="B240" s="823" t="s">
        <v>381</v>
      </c>
      <c r="C240" s="989">
        <v>0</v>
      </c>
      <c r="D240" s="989">
        <v>27000</v>
      </c>
      <c r="E240" s="1211">
        <f t="shared" si="7"/>
        <v>27000</v>
      </c>
      <c r="F240" s="968"/>
      <c r="G240" s="989">
        <v>19376</v>
      </c>
      <c r="H240" s="968">
        <f t="shared" si="12"/>
        <v>19376</v>
      </c>
      <c r="I240" s="968"/>
      <c r="J240" s="968"/>
      <c r="K240" s="968">
        <f t="shared" si="13"/>
        <v>7624</v>
      </c>
    </row>
    <row r="241" spans="1:12" ht="31.5">
      <c r="A241" s="966">
        <v>200</v>
      </c>
      <c r="B241" s="967" t="s">
        <v>419</v>
      </c>
      <c r="C241" s="989">
        <v>0</v>
      </c>
      <c r="D241" s="989">
        <v>28500</v>
      </c>
      <c r="E241" s="1211">
        <f t="shared" si="7"/>
        <v>28500</v>
      </c>
      <c r="F241" s="968"/>
      <c r="G241" s="989">
        <v>17780</v>
      </c>
      <c r="H241" s="968">
        <f t="shared" si="12"/>
        <v>17780</v>
      </c>
      <c r="I241" s="968"/>
      <c r="J241" s="968"/>
      <c r="K241" s="968">
        <f t="shared" si="13"/>
        <v>10720</v>
      </c>
    </row>
    <row r="242" spans="1:12" ht="31.5">
      <c r="A242" s="966">
        <v>201</v>
      </c>
      <c r="B242" s="967" t="s">
        <v>420</v>
      </c>
      <c r="C242" s="989">
        <v>0</v>
      </c>
      <c r="D242" s="989">
        <v>35000</v>
      </c>
      <c r="E242" s="1211">
        <f t="shared" si="7"/>
        <v>35000</v>
      </c>
      <c r="F242" s="968"/>
      <c r="G242" s="989">
        <v>35000</v>
      </c>
      <c r="H242" s="968">
        <f t="shared" si="12"/>
        <v>35000</v>
      </c>
      <c r="I242" s="968"/>
      <c r="J242" s="968"/>
      <c r="K242" s="968">
        <f t="shared" si="13"/>
        <v>0</v>
      </c>
    </row>
    <row r="243" spans="1:12" s="19" customFormat="1" ht="23.25">
      <c r="A243" s="966">
        <v>202</v>
      </c>
      <c r="B243" s="981" t="s">
        <v>422</v>
      </c>
      <c r="C243" s="989">
        <v>0</v>
      </c>
      <c r="D243" s="983">
        <v>90000</v>
      </c>
      <c r="E243" s="1211">
        <f t="shared" si="7"/>
        <v>90000</v>
      </c>
      <c r="F243" s="1188"/>
      <c r="G243" s="989">
        <v>3480</v>
      </c>
      <c r="H243" s="968">
        <f t="shared" si="12"/>
        <v>3480</v>
      </c>
      <c r="I243" s="1188"/>
      <c r="J243" s="1188"/>
      <c r="K243" s="968">
        <f t="shared" si="13"/>
        <v>86520</v>
      </c>
    </row>
    <row r="244" spans="1:12" s="19" customFormat="1" ht="33">
      <c r="A244" s="966">
        <v>203</v>
      </c>
      <c r="B244" s="982" t="s">
        <v>423</v>
      </c>
      <c r="C244" s="989">
        <v>0</v>
      </c>
      <c r="D244" s="989">
        <v>100000</v>
      </c>
      <c r="E244" s="1211">
        <f t="shared" si="7"/>
        <v>100000</v>
      </c>
      <c r="F244" s="1188"/>
      <c r="G244" s="989"/>
      <c r="H244" s="968">
        <f t="shared" si="12"/>
        <v>0</v>
      </c>
      <c r="I244" s="1188"/>
      <c r="J244" s="1189"/>
      <c r="K244" s="968">
        <f t="shared" si="13"/>
        <v>100000</v>
      </c>
    </row>
    <row r="245" spans="1:12" ht="33">
      <c r="A245" s="966">
        <v>204</v>
      </c>
      <c r="B245" s="982" t="s">
        <v>424</v>
      </c>
      <c r="C245" s="989">
        <v>0</v>
      </c>
      <c r="D245" s="989">
        <v>100000</v>
      </c>
      <c r="E245" s="1211">
        <f t="shared" si="7"/>
        <v>100000</v>
      </c>
      <c r="F245" s="968"/>
      <c r="G245" s="989"/>
      <c r="H245" s="968">
        <f t="shared" si="12"/>
        <v>0</v>
      </c>
      <c r="I245" s="968"/>
      <c r="J245" s="155"/>
      <c r="K245" s="968">
        <f t="shared" si="13"/>
        <v>100000</v>
      </c>
    </row>
    <row r="246" spans="1:12" ht="18.75">
      <c r="A246" s="966"/>
      <c r="B246" s="1228" t="s">
        <v>1925</v>
      </c>
      <c r="C246" s="1211">
        <f t="shared" ref="C246:K246" si="16">SUM(C42:C245)</f>
        <v>16430624</v>
      </c>
      <c r="D246" s="1211">
        <f t="shared" si="16"/>
        <v>3791080</v>
      </c>
      <c r="E246" s="1211">
        <f t="shared" si="16"/>
        <v>20221704</v>
      </c>
      <c r="F246" s="1211">
        <f t="shared" si="16"/>
        <v>0</v>
      </c>
      <c r="G246" s="1211">
        <f t="shared" si="16"/>
        <v>1314815</v>
      </c>
      <c r="H246" s="1211">
        <f t="shared" si="16"/>
        <v>1314815</v>
      </c>
      <c r="I246" s="1211">
        <f t="shared" si="16"/>
        <v>0</v>
      </c>
      <c r="J246" s="1211">
        <f t="shared" si="16"/>
        <v>0</v>
      </c>
      <c r="K246" s="1211">
        <f t="shared" si="16"/>
        <v>18906889</v>
      </c>
      <c r="L246" s="102">
        <v>18906889</v>
      </c>
    </row>
    <row r="247" spans="1:12" ht="53.1" customHeight="1">
      <c r="A247" s="1235" t="s">
        <v>1928</v>
      </c>
      <c r="B247" s="1236" t="s">
        <v>1927</v>
      </c>
      <c r="C247" s="1211"/>
      <c r="D247" s="1211"/>
      <c r="E247" s="1211"/>
      <c r="F247" s="1211"/>
      <c r="G247" s="1211"/>
      <c r="H247" s="1211"/>
      <c r="I247" s="1211"/>
      <c r="J247" s="1211"/>
      <c r="K247" s="1211"/>
    </row>
    <row r="248" spans="1:12" ht="18.75">
      <c r="A248" s="966">
        <v>1</v>
      </c>
      <c r="B248" s="967" t="s">
        <v>376</v>
      </c>
      <c r="C248" s="1211"/>
      <c r="D248" s="1211">
        <v>98474</v>
      </c>
      <c r="E248" s="1211">
        <f t="shared" ref="E248:E279" si="17">C248+D248</f>
        <v>98474</v>
      </c>
      <c r="F248" s="1211"/>
      <c r="G248" s="1211">
        <v>24857</v>
      </c>
      <c r="H248" s="968">
        <f t="shared" ref="H248:H279" si="18">SUM(F248:G248)</f>
        <v>24857</v>
      </c>
      <c r="I248" s="968"/>
      <c r="J248" s="1211"/>
      <c r="K248" s="968">
        <f t="shared" ref="K248:K280" si="19">E248-F248-G248-I248-J248</f>
        <v>73617</v>
      </c>
    </row>
    <row r="249" spans="1:12" ht="31.5">
      <c r="A249" s="966">
        <v>2</v>
      </c>
      <c r="B249" s="967" t="s">
        <v>377</v>
      </c>
      <c r="C249" s="1211"/>
      <c r="D249" s="1211">
        <v>2319165</v>
      </c>
      <c r="E249" s="1211">
        <f t="shared" si="17"/>
        <v>2319165</v>
      </c>
      <c r="F249" s="1211"/>
      <c r="G249" s="1211">
        <v>996676</v>
      </c>
      <c r="H249" s="968">
        <f t="shared" si="18"/>
        <v>996676</v>
      </c>
      <c r="I249" s="968"/>
      <c r="J249" s="1211"/>
      <c r="K249" s="968">
        <f t="shared" si="19"/>
        <v>1322489</v>
      </c>
    </row>
    <row r="250" spans="1:12" ht="31.5">
      <c r="A250" s="966">
        <v>3</v>
      </c>
      <c r="B250" s="967" t="s">
        <v>378</v>
      </c>
      <c r="C250" s="1211"/>
      <c r="D250" s="1211">
        <v>122500</v>
      </c>
      <c r="E250" s="1211">
        <f t="shared" si="17"/>
        <v>122500</v>
      </c>
      <c r="F250" s="1211"/>
      <c r="G250" s="1211">
        <v>10000</v>
      </c>
      <c r="H250" s="968">
        <f t="shared" si="18"/>
        <v>10000</v>
      </c>
      <c r="I250" s="1140"/>
      <c r="J250" s="1211"/>
      <c r="K250" s="968">
        <f t="shared" si="19"/>
        <v>112500</v>
      </c>
    </row>
    <row r="251" spans="1:12" ht="31.5">
      <c r="A251" s="966">
        <v>4</v>
      </c>
      <c r="B251" s="967" t="s">
        <v>379</v>
      </c>
      <c r="C251" s="1211"/>
      <c r="D251" s="1211">
        <v>15000</v>
      </c>
      <c r="E251" s="1211">
        <f t="shared" si="17"/>
        <v>15000</v>
      </c>
      <c r="F251" s="1211"/>
      <c r="G251" s="1211">
        <v>14858</v>
      </c>
      <c r="H251" s="968">
        <f t="shared" si="18"/>
        <v>14858</v>
      </c>
      <c r="I251" s="968"/>
      <c r="J251" s="1211"/>
      <c r="K251" s="968">
        <f t="shared" si="19"/>
        <v>142</v>
      </c>
    </row>
    <row r="252" spans="1:12" ht="31.5">
      <c r="A252" s="966">
        <v>5</v>
      </c>
      <c r="B252" s="967" t="s">
        <v>380</v>
      </c>
      <c r="C252" s="1211"/>
      <c r="D252" s="1211">
        <v>354400</v>
      </c>
      <c r="E252" s="1211">
        <f t="shared" si="17"/>
        <v>354400</v>
      </c>
      <c r="F252" s="1211"/>
      <c r="G252" s="1211">
        <v>158038</v>
      </c>
      <c r="H252" s="968">
        <f t="shared" si="18"/>
        <v>158038</v>
      </c>
      <c r="I252" s="968"/>
      <c r="J252" s="1211"/>
      <c r="K252" s="968">
        <f t="shared" si="19"/>
        <v>196362</v>
      </c>
    </row>
    <row r="253" spans="1:12" ht="18.75">
      <c r="A253" s="966">
        <v>6</v>
      </c>
      <c r="B253" s="978" t="s">
        <v>382</v>
      </c>
      <c r="C253" s="1211"/>
      <c r="D253" s="1211">
        <v>397346</v>
      </c>
      <c r="E253" s="1211">
        <f t="shared" si="17"/>
        <v>397346</v>
      </c>
      <c r="F253" s="1211"/>
      <c r="G253" s="1211">
        <v>397346</v>
      </c>
      <c r="H253" s="968">
        <f t="shared" si="18"/>
        <v>397346</v>
      </c>
      <c r="I253" s="968"/>
      <c r="J253" s="1211"/>
      <c r="K253" s="968">
        <f t="shared" si="19"/>
        <v>0</v>
      </c>
    </row>
    <row r="254" spans="1:12" ht="47.25">
      <c r="A254" s="966">
        <v>7</v>
      </c>
      <c r="B254" s="967" t="s">
        <v>383</v>
      </c>
      <c r="C254" s="1211"/>
      <c r="D254" s="1211">
        <v>494812</v>
      </c>
      <c r="E254" s="1211">
        <f t="shared" si="17"/>
        <v>494812</v>
      </c>
      <c r="F254" s="1211"/>
      <c r="G254" s="1211">
        <v>477562</v>
      </c>
      <c r="H254" s="968">
        <f t="shared" si="18"/>
        <v>477562</v>
      </c>
      <c r="I254" s="968"/>
      <c r="J254" s="1211"/>
      <c r="K254" s="968">
        <f t="shared" si="19"/>
        <v>17250</v>
      </c>
    </row>
    <row r="255" spans="1:12" ht="18.75">
      <c r="A255" s="966">
        <v>8</v>
      </c>
      <c r="B255" s="967" t="s">
        <v>384</v>
      </c>
      <c r="C255" s="1211"/>
      <c r="D255" s="1211">
        <v>6174172</v>
      </c>
      <c r="E255" s="1211">
        <f t="shared" si="17"/>
        <v>6174172</v>
      </c>
      <c r="F255" s="1211"/>
      <c r="G255" s="1211">
        <v>6174172</v>
      </c>
      <c r="H255" s="968">
        <f t="shared" si="18"/>
        <v>6174172</v>
      </c>
      <c r="I255" s="968"/>
      <c r="J255" s="1211"/>
      <c r="K255" s="968">
        <f t="shared" si="19"/>
        <v>0</v>
      </c>
    </row>
    <row r="256" spans="1:12" ht="31.5">
      <c r="A256" s="966">
        <v>9</v>
      </c>
      <c r="B256" s="978" t="s">
        <v>385</v>
      </c>
      <c r="C256" s="1211"/>
      <c r="D256" s="1211">
        <v>2520000</v>
      </c>
      <c r="E256" s="1211">
        <f t="shared" si="17"/>
        <v>2520000</v>
      </c>
      <c r="F256" s="1211">
        <v>221860</v>
      </c>
      <c r="G256" s="1211">
        <v>60444</v>
      </c>
      <c r="H256" s="968">
        <f t="shared" si="18"/>
        <v>282304</v>
      </c>
      <c r="I256" s="968"/>
      <c r="J256" s="1211"/>
      <c r="K256" s="968">
        <f t="shared" si="19"/>
        <v>2237696</v>
      </c>
    </row>
    <row r="257" spans="1:11" ht="47.25">
      <c r="A257" s="966">
        <v>10</v>
      </c>
      <c r="B257" s="978" t="s">
        <v>386</v>
      </c>
      <c r="C257" s="1211"/>
      <c r="D257" s="1211">
        <v>745000</v>
      </c>
      <c r="E257" s="1211">
        <f t="shared" si="17"/>
        <v>745000</v>
      </c>
      <c r="F257" s="1211"/>
      <c r="G257" s="1211">
        <v>629305</v>
      </c>
      <c r="H257" s="968">
        <f t="shared" si="18"/>
        <v>629305</v>
      </c>
      <c r="I257" s="968"/>
      <c r="J257" s="1211"/>
      <c r="K257" s="968">
        <f t="shared" si="19"/>
        <v>115695</v>
      </c>
    </row>
    <row r="258" spans="1:11" ht="31.5">
      <c r="A258" s="966">
        <v>11</v>
      </c>
      <c r="B258" s="978" t="s">
        <v>387</v>
      </c>
      <c r="C258" s="1211"/>
      <c r="D258" s="1211">
        <v>810000</v>
      </c>
      <c r="E258" s="1211">
        <f t="shared" si="17"/>
        <v>810000</v>
      </c>
      <c r="F258" s="1211"/>
      <c r="G258" s="1211">
        <v>88804</v>
      </c>
      <c r="H258" s="968">
        <f t="shared" si="18"/>
        <v>88804</v>
      </c>
      <c r="I258" s="968"/>
      <c r="J258" s="1211"/>
      <c r="K258" s="968">
        <f t="shared" si="19"/>
        <v>721196</v>
      </c>
    </row>
    <row r="259" spans="1:11" ht="18.75">
      <c r="A259" s="966">
        <v>12</v>
      </c>
      <c r="B259" s="978" t="s">
        <v>418</v>
      </c>
      <c r="C259" s="1211"/>
      <c r="D259" s="1211">
        <v>630000</v>
      </c>
      <c r="E259" s="1211">
        <f t="shared" si="17"/>
        <v>630000</v>
      </c>
      <c r="F259" s="1211"/>
      <c r="G259" s="1211"/>
      <c r="H259" s="968">
        <f t="shared" si="18"/>
        <v>0</v>
      </c>
      <c r="I259" s="1142"/>
      <c r="J259" s="1211"/>
      <c r="K259" s="968">
        <f t="shared" si="19"/>
        <v>630000</v>
      </c>
    </row>
    <row r="260" spans="1:11" ht="18.75">
      <c r="A260" s="966">
        <v>13</v>
      </c>
      <c r="B260" s="978" t="s">
        <v>421</v>
      </c>
      <c r="C260" s="1211"/>
      <c r="D260" s="1211">
        <v>3585000</v>
      </c>
      <c r="E260" s="1211">
        <f t="shared" si="17"/>
        <v>3585000</v>
      </c>
      <c r="F260" s="1211"/>
      <c r="G260" s="1211"/>
      <c r="H260" s="968">
        <f t="shared" si="18"/>
        <v>0</v>
      </c>
      <c r="I260" s="968"/>
      <c r="J260" s="1211"/>
      <c r="K260" s="968">
        <f t="shared" si="19"/>
        <v>3585000</v>
      </c>
    </row>
    <row r="261" spans="1:11" ht="18.75">
      <c r="A261" s="966">
        <v>14</v>
      </c>
      <c r="B261" s="978" t="s">
        <v>154</v>
      </c>
      <c r="C261" s="1211"/>
      <c r="D261" s="1211">
        <v>1500000</v>
      </c>
      <c r="E261" s="1211">
        <f t="shared" si="17"/>
        <v>1500000</v>
      </c>
      <c r="F261" s="1211"/>
      <c r="G261" s="1211"/>
      <c r="H261" s="968">
        <f t="shared" si="18"/>
        <v>0</v>
      </c>
      <c r="I261" s="968"/>
      <c r="J261" s="1211"/>
      <c r="K261" s="968">
        <f t="shared" si="19"/>
        <v>1500000</v>
      </c>
    </row>
    <row r="262" spans="1:11" ht="18.75">
      <c r="A262" s="966">
        <v>15</v>
      </c>
      <c r="B262" s="978" t="s">
        <v>425</v>
      </c>
      <c r="C262" s="1211"/>
      <c r="D262" s="1211">
        <v>7256000</v>
      </c>
      <c r="E262" s="1211">
        <f t="shared" si="17"/>
        <v>7256000</v>
      </c>
      <c r="F262" s="1211"/>
      <c r="G262" s="1211"/>
      <c r="H262" s="968">
        <f t="shared" si="18"/>
        <v>0</v>
      </c>
      <c r="I262" s="968"/>
      <c r="J262" s="1211"/>
      <c r="K262" s="968">
        <f t="shared" si="19"/>
        <v>7256000</v>
      </c>
    </row>
    <row r="263" spans="1:11" ht="18.75">
      <c r="A263" s="966">
        <v>16</v>
      </c>
      <c r="B263" s="1232" t="s">
        <v>153</v>
      </c>
      <c r="C263" s="1211">
        <v>32017</v>
      </c>
      <c r="D263" s="1211"/>
      <c r="E263" s="1211">
        <f t="shared" si="17"/>
        <v>32017</v>
      </c>
      <c r="F263" s="1211"/>
      <c r="G263" s="1211"/>
      <c r="H263" s="968">
        <f t="shared" si="18"/>
        <v>0</v>
      </c>
      <c r="I263" s="968"/>
      <c r="J263" s="1211"/>
      <c r="K263" s="968">
        <f t="shared" si="19"/>
        <v>32017</v>
      </c>
    </row>
    <row r="264" spans="1:11" ht="18.75">
      <c r="A264" s="966">
        <v>17</v>
      </c>
      <c r="B264" s="1231" t="s">
        <v>154</v>
      </c>
      <c r="C264" s="1211">
        <v>187500</v>
      </c>
      <c r="D264" s="1211"/>
      <c r="E264" s="1211">
        <f t="shared" si="17"/>
        <v>187500</v>
      </c>
      <c r="F264" s="1211"/>
      <c r="G264" s="1211"/>
      <c r="H264" s="968">
        <f t="shared" si="18"/>
        <v>0</v>
      </c>
      <c r="I264" s="968"/>
      <c r="J264" s="1211"/>
      <c r="K264" s="968">
        <f t="shared" si="19"/>
        <v>187500</v>
      </c>
    </row>
    <row r="265" spans="1:11" ht="18.75">
      <c r="A265" s="966">
        <v>18</v>
      </c>
      <c r="B265" s="1231" t="s">
        <v>155</v>
      </c>
      <c r="C265" s="1211">
        <v>54142</v>
      </c>
      <c r="D265" s="1211"/>
      <c r="E265" s="1211">
        <f t="shared" si="17"/>
        <v>54142</v>
      </c>
      <c r="F265" s="1211"/>
      <c r="G265" s="1211"/>
      <c r="H265" s="968">
        <f t="shared" si="18"/>
        <v>0</v>
      </c>
      <c r="I265" s="968"/>
      <c r="J265" s="1211"/>
      <c r="K265" s="968">
        <f t="shared" si="19"/>
        <v>54142</v>
      </c>
    </row>
    <row r="266" spans="1:11" ht="18.75">
      <c r="A266" s="966">
        <v>19</v>
      </c>
      <c r="B266" s="1231" t="s">
        <v>161</v>
      </c>
      <c r="C266" s="1211">
        <v>388981</v>
      </c>
      <c r="D266" s="1211"/>
      <c r="E266" s="1211">
        <f t="shared" si="17"/>
        <v>388981</v>
      </c>
      <c r="F266" s="1211"/>
      <c r="G266" s="1211"/>
      <c r="H266" s="968">
        <f t="shared" si="18"/>
        <v>0</v>
      </c>
      <c r="I266" s="968"/>
      <c r="J266" s="1211"/>
      <c r="K266" s="968">
        <f t="shared" si="19"/>
        <v>388981</v>
      </c>
    </row>
    <row r="267" spans="1:11" ht="18.75">
      <c r="A267" s="966">
        <v>20</v>
      </c>
      <c r="B267" s="1231" t="s">
        <v>162</v>
      </c>
      <c r="C267" s="1211">
        <v>426120</v>
      </c>
      <c r="D267" s="1211"/>
      <c r="E267" s="1211">
        <f t="shared" si="17"/>
        <v>426120</v>
      </c>
      <c r="F267" s="1211"/>
      <c r="G267" s="1211"/>
      <c r="H267" s="968">
        <f t="shared" si="18"/>
        <v>0</v>
      </c>
      <c r="I267" s="968"/>
      <c r="K267" s="968">
        <f t="shared" si="19"/>
        <v>426120</v>
      </c>
    </row>
    <row r="268" spans="1:11" ht="18.75">
      <c r="A268" s="966">
        <v>21</v>
      </c>
      <c r="B268" s="1231" t="s">
        <v>164</v>
      </c>
      <c r="C268" s="1211">
        <v>344569</v>
      </c>
      <c r="D268" s="1211"/>
      <c r="E268" s="1211">
        <f t="shared" si="17"/>
        <v>344569</v>
      </c>
      <c r="F268" s="1211"/>
      <c r="G268" s="1211"/>
      <c r="H268" s="968">
        <f t="shared" si="18"/>
        <v>0</v>
      </c>
      <c r="I268" s="968"/>
      <c r="J268" s="1211"/>
      <c r="K268" s="968">
        <f t="shared" si="19"/>
        <v>344569</v>
      </c>
    </row>
    <row r="269" spans="1:11" ht="63">
      <c r="A269" s="966">
        <v>22</v>
      </c>
      <c r="B269" s="1231" t="s">
        <v>178</v>
      </c>
      <c r="C269" s="1211">
        <v>146671</v>
      </c>
      <c r="D269" s="1211">
        <v>2532380</v>
      </c>
      <c r="E269" s="1211">
        <f t="shared" si="17"/>
        <v>2679051</v>
      </c>
      <c r="F269" s="1211">
        <v>531919</v>
      </c>
      <c r="G269" s="1211">
        <v>2144865</v>
      </c>
      <c r="H269" s="968">
        <f t="shared" si="18"/>
        <v>2676784</v>
      </c>
      <c r="I269" s="968"/>
      <c r="J269" s="1211"/>
      <c r="K269" s="968">
        <f t="shared" si="19"/>
        <v>2267</v>
      </c>
    </row>
    <row r="270" spans="1:11" ht="31.5">
      <c r="A270" s="966">
        <v>23</v>
      </c>
      <c r="B270" s="967" t="s">
        <v>1917</v>
      </c>
      <c r="C270" s="1211">
        <v>552510</v>
      </c>
      <c r="D270" s="1211"/>
      <c r="E270" s="1211">
        <f t="shared" si="17"/>
        <v>552510</v>
      </c>
      <c r="F270" s="1211"/>
      <c r="G270" s="1211"/>
      <c r="H270" s="968">
        <f t="shared" si="18"/>
        <v>0</v>
      </c>
      <c r="I270" s="968"/>
      <c r="J270" s="1211">
        <v>394525</v>
      </c>
      <c r="K270" s="968">
        <f t="shared" si="19"/>
        <v>157985</v>
      </c>
    </row>
    <row r="271" spans="1:11" ht="47.25">
      <c r="A271" s="966">
        <v>24</v>
      </c>
      <c r="B271" s="967" t="s">
        <v>181</v>
      </c>
      <c r="C271" s="1211">
        <v>684320</v>
      </c>
      <c r="D271" s="1211"/>
      <c r="E271" s="1211">
        <f t="shared" si="17"/>
        <v>684320</v>
      </c>
      <c r="F271" s="1211"/>
      <c r="G271" s="1211">
        <v>441240</v>
      </c>
      <c r="H271" s="968">
        <f t="shared" si="18"/>
        <v>441240</v>
      </c>
      <c r="I271" s="968"/>
      <c r="J271" s="1211"/>
      <c r="K271" s="968">
        <f t="shared" si="19"/>
        <v>243080</v>
      </c>
    </row>
    <row r="272" spans="1:11" ht="31.5">
      <c r="A272" s="966">
        <v>25</v>
      </c>
      <c r="B272" s="1231" t="s">
        <v>182</v>
      </c>
      <c r="C272" s="1211">
        <v>108500</v>
      </c>
      <c r="D272" s="1211"/>
      <c r="E272" s="1211">
        <f t="shared" si="17"/>
        <v>108500</v>
      </c>
      <c r="F272" s="1211"/>
      <c r="G272" s="1211"/>
      <c r="H272" s="968">
        <f t="shared" si="18"/>
        <v>0</v>
      </c>
      <c r="I272" s="968"/>
      <c r="J272" s="1211"/>
      <c r="K272" s="968">
        <f t="shared" si="19"/>
        <v>108500</v>
      </c>
    </row>
    <row r="273" spans="1:11" ht="18.75">
      <c r="A273" s="966">
        <v>26</v>
      </c>
      <c r="B273" s="1231" t="s">
        <v>183</v>
      </c>
      <c r="C273" s="1211">
        <v>18403</v>
      </c>
      <c r="D273" s="1211"/>
      <c r="E273" s="1211">
        <f t="shared" si="17"/>
        <v>18403</v>
      </c>
      <c r="F273" s="1211"/>
      <c r="G273" s="1211"/>
      <c r="H273" s="968">
        <f t="shared" si="18"/>
        <v>0</v>
      </c>
      <c r="I273" s="968"/>
      <c r="J273" s="1211"/>
      <c r="K273" s="968">
        <f t="shared" si="19"/>
        <v>18403</v>
      </c>
    </row>
    <row r="274" spans="1:11" ht="18.75">
      <c r="A274" s="966">
        <v>27</v>
      </c>
      <c r="B274" s="1231" t="s">
        <v>186</v>
      </c>
      <c r="C274" s="1211">
        <v>1</v>
      </c>
      <c r="D274" s="1211"/>
      <c r="E274" s="1211">
        <f t="shared" si="17"/>
        <v>1</v>
      </c>
      <c r="F274" s="1211"/>
      <c r="G274" s="1211"/>
      <c r="H274" s="968">
        <f t="shared" si="18"/>
        <v>0</v>
      </c>
      <c r="I274" s="968"/>
      <c r="J274" s="1211"/>
      <c r="K274" s="968">
        <f t="shared" si="19"/>
        <v>1</v>
      </c>
    </row>
    <row r="275" spans="1:11" ht="18.75">
      <c r="A275" s="966">
        <v>28</v>
      </c>
      <c r="B275" s="1141" t="s">
        <v>1918</v>
      </c>
      <c r="C275" s="1211">
        <v>47</v>
      </c>
      <c r="D275" s="1211"/>
      <c r="E275" s="1211">
        <f t="shared" si="17"/>
        <v>47</v>
      </c>
      <c r="F275" s="1211"/>
      <c r="G275" s="1211"/>
      <c r="H275" s="968">
        <f t="shared" si="18"/>
        <v>0</v>
      </c>
      <c r="I275" s="968"/>
      <c r="J275" s="1211"/>
      <c r="K275" s="968">
        <f t="shared" si="19"/>
        <v>47</v>
      </c>
    </row>
    <row r="276" spans="1:11" ht="18.75">
      <c r="A276" s="966">
        <v>29</v>
      </c>
      <c r="B276" s="1141" t="s">
        <v>188</v>
      </c>
      <c r="C276" s="1211">
        <v>113182</v>
      </c>
      <c r="D276" s="1211"/>
      <c r="E276" s="1211">
        <f t="shared" si="17"/>
        <v>113182</v>
      </c>
      <c r="F276" s="1211"/>
      <c r="G276" s="1211"/>
      <c r="H276" s="968">
        <f t="shared" si="18"/>
        <v>0</v>
      </c>
      <c r="I276" s="968"/>
      <c r="J276" s="1211"/>
      <c r="K276" s="968">
        <f t="shared" si="19"/>
        <v>113182</v>
      </c>
    </row>
    <row r="277" spans="1:11" ht="18.75">
      <c r="A277" s="966">
        <v>30</v>
      </c>
      <c r="B277" s="1141" t="s">
        <v>189</v>
      </c>
      <c r="C277" s="1211">
        <v>4982</v>
      </c>
      <c r="D277" s="1211"/>
      <c r="E277" s="1211">
        <f t="shared" si="17"/>
        <v>4982</v>
      </c>
      <c r="F277" s="1211"/>
      <c r="G277" s="1211"/>
      <c r="H277" s="968">
        <f t="shared" si="18"/>
        <v>0</v>
      </c>
      <c r="I277" s="968"/>
      <c r="J277" s="1211"/>
      <c r="K277" s="968">
        <f t="shared" si="19"/>
        <v>4982</v>
      </c>
    </row>
    <row r="278" spans="1:11" ht="18.75">
      <c r="A278" s="966">
        <v>31</v>
      </c>
      <c r="B278" s="1141" t="s">
        <v>190</v>
      </c>
      <c r="C278" s="1211">
        <v>150525</v>
      </c>
      <c r="D278" s="1211"/>
      <c r="E278" s="1211">
        <f t="shared" si="17"/>
        <v>150525</v>
      </c>
      <c r="F278" s="1211"/>
      <c r="G278" s="1211"/>
      <c r="H278" s="968">
        <f t="shared" si="18"/>
        <v>0</v>
      </c>
      <c r="I278" s="968"/>
      <c r="J278" s="1211"/>
      <c r="K278" s="968">
        <f t="shared" si="19"/>
        <v>150525</v>
      </c>
    </row>
    <row r="279" spans="1:11" ht="18.75">
      <c r="A279" s="966">
        <v>32</v>
      </c>
      <c r="B279" s="1141" t="s">
        <v>191</v>
      </c>
      <c r="C279" s="1211">
        <v>1000</v>
      </c>
      <c r="D279" s="1211"/>
      <c r="E279" s="1211">
        <f t="shared" si="17"/>
        <v>1000</v>
      </c>
      <c r="F279" s="1211"/>
      <c r="G279" s="1211"/>
      <c r="H279" s="968">
        <f t="shared" si="18"/>
        <v>0</v>
      </c>
      <c r="I279" s="968"/>
      <c r="J279" s="1211"/>
      <c r="K279" s="968">
        <f t="shared" si="19"/>
        <v>1000</v>
      </c>
    </row>
    <row r="280" spans="1:11" ht="18.75">
      <c r="A280" s="966">
        <v>33</v>
      </c>
      <c r="B280" s="1141" t="s">
        <v>192</v>
      </c>
      <c r="C280" s="1211">
        <v>10000</v>
      </c>
      <c r="D280" s="1211"/>
      <c r="E280" s="1211">
        <f t="shared" ref="E280:E296" si="20">C280+D280</f>
        <v>10000</v>
      </c>
      <c r="F280" s="1211"/>
      <c r="G280" s="1211"/>
      <c r="H280" s="968">
        <f t="shared" ref="H280:H296" si="21">SUM(F280:G280)</f>
        <v>0</v>
      </c>
      <c r="I280" s="968"/>
      <c r="J280" s="1211"/>
      <c r="K280" s="968">
        <f t="shared" si="19"/>
        <v>10000</v>
      </c>
    </row>
    <row r="281" spans="1:11" ht="18.75">
      <c r="A281" s="966">
        <v>34</v>
      </c>
      <c r="B281" s="969" t="s">
        <v>193</v>
      </c>
      <c r="C281" s="1211">
        <v>65101</v>
      </c>
      <c r="D281" s="1211"/>
      <c r="E281" s="1211">
        <f t="shared" si="20"/>
        <v>65101</v>
      </c>
      <c r="F281" s="1211"/>
      <c r="G281" s="1211">
        <v>65101</v>
      </c>
      <c r="H281" s="968">
        <f t="shared" si="21"/>
        <v>65101</v>
      </c>
      <c r="I281" s="968"/>
      <c r="J281" s="1211"/>
      <c r="K281" s="968">
        <f t="shared" ref="K281:K296" si="22">E281-F281-G281-I281-J281</f>
        <v>0</v>
      </c>
    </row>
    <row r="282" spans="1:11" ht="18.75">
      <c r="A282" s="966">
        <v>35</v>
      </c>
      <c r="B282" s="1141" t="s">
        <v>194</v>
      </c>
      <c r="C282" s="1211">
        <v>30069</v>
      </c>
      <c r="D282" s="1211"/>
      <c r="E282" s="1211">
        <f t="shared" si="20"/>
        <v>30069</v>
      </c>
      <c r="F282" s="1211"/>
      <c r="G282" s="1211"/>
      <c r="H282" s="968">
        <f t="shared" si="21"/>
        <v>0</v>
      </c>
      <c r="I282" s="968"/>
      <c r="J282" s="1211"/>
      <c r="K282" s="968">
        <f t="shared" si="22"/>
        <v>30069</v>
      </c>
    </row>
    <row r="283" spans="1:11" ht="18.75">
      <c r="A283" s="966">
        <v>36</v>
      </c>
      <c r="B283" s="1141" t="s">
        <v>1919</v>
      </c>
      <c r="C283" s="1211">
        <v>221644</v>
      </c>
      <c r="D283" s="1211"/>
      <c r="E283" s="1211">
        <f t="shared" si="20"/>
        <v>221644</v>
      </c>
      <c r="F283" s="1211"/>
      <c r="G283" s="1211"/>
      <c r="H283" s="968">
        <f t="shared" si="21"/>
        <v>0</v>
      </c>
      <c r="I283" s="968"/>
      <c r="J283" s="1211"/>
      <c r="K283" s="968">
        <f t="shared" si="22"/>
        <v>221644</v>
      </c>
    </row>
    <row r="284" spans="1:11" ht="18.75">
      <c r="A284" s="966">
        <v>37</v>
      </c>
      <c r="B284" s="1141" t="s">
        <v>195</v>
      </c>
      <c r="C284" s="1211">
        <v>70054</v>
      </c>
      <c r="D284" s="1211"/>
      <c r="E284" s="1211">
        <f t="shared" si="20"/>
        <v>70054</v>
      </c>
      <c r="F284" s="1211"/>
      <c r="G284" s="1211"/>
      <c r="H284" s="968">
        <f t="shared" si="21"/>
        <v>0</v>
      </c>
      <c r="I284" s="968"/>
      <c r="J284" s="1211"/>
      <c r="K284" s="968">
        <f t="shared" si="22"/>
        <v>70054</v>
      </c>
    </row>
    <row r="285" spans="1:11" ht="18.75">
      <c r="A285" s="966">
        <v>38</v>
      </c>
      <c r="B285" s="967" t="s">
        <v>196</v>
      </c>
      <c r="C285" s="1211">
        <v>52636</v>
      </c>
      <c r="D285" s="1211"/>
      <c r="E285" s="1211">
        <f t="shared" si="20"/>
        <v>52636</v>
      </c>
      <c r="F285" s="1211"/>
      <c r="G285" s="1211"/>
      <c r="H285" s="968">
        <f t="shared" si="21"/>
        <v>0</v>
      </c>
      <c r="I285" s="968"/>
      <c r="J285" s="1211"/>
      <c r="K285" s="968">
        <f t="shared" si="22"/>
        <v>52636</v>
      </c>
    </row>
    <row r="286" spans="1:11" ht="18.75">
      <c r="A286" s="966">
        <v>39</v>
      </c>
      <c r="B286" s="967" t="s">
        <v>197</v>
      </c>
      <c r="C286" s="1211">
        <v>100000</v>
      </c>
      <c r="D286" s="1211"/>
      <c r="E286" s="1211">
        <f t="shared" si="20"/>
        <v>100000</v>
      </c>
      <c r="F286" s="1211"/>
      <c r="G286" s="1211"/>
      <c r="H286" s="968">
        <f t="shared" si="21"/>
        <v>0</v>
      </c>
      <c r="I286" s="968"/>
      <c r="J286" s="1211"/>
      <c r="K286" s="968">
        <f t="shared" si="22"/>
        <v>100000</v>
      </c>
    </row>
    <row r="287" spans="1:11" ht="18.75">
      <c r="A287" s="966">
        <v>40</v>
      </c>
      <c r="B287" s="967" t="s">
        <v>198</v>
      </c>
      <c r="C287" s="1211">
        <v>32000</v>
      </c>
      <c r="D287" s="1211"/>
      <c r="E287" s="1211">
        <f t="shared" si="20"/>
        <v>32000</v>
      </c>
      <c r="F287" s="1211"/>
      <c r="G287" s="1211"/>
      <c r="H287" s="968">
        <f t="shared" si="21"/>
        <v>0</v>
      </c>
      <c r="I287" s="968"/>
      <c r="J287" s="1211"/>
      <c r="K287" s="968">
        <f t="shared" si="22"/>
        <v>32000</v>
      </c>
    </row>
    <row r="288" spans="1:11" ht="18.75">
      <c r="A288" s="966">
        <v>41</v>
      </c>
      <c r="B288" s="967" t="s">
        <v>199</v>
      </c>
      <c r="C288" s="1211">
        <v>237994</v>
      </c>
      <c r="D288" s="1211"/>
      <c r="E288" s="1211">
        <f t="shared" si="20"/>
        <v>237994</v>
      </c>
      <c r="F288" s="1211"/>
      <c r="G288" s="1211"/>
      <c r="H288" s="968">
        <f t="shared" si="21"/>
        <v>0</v>
      </c>
      <c r="I288" s="968"/>
      <c r="J288" s="1211">
        <v>237994</v>
      </c>
      <c r="K288" s="968">
        <f t="shared" si="22"/>
        <v>0</v>
      </c>
    </row>
    <row r="289" spans="1:14" ht="31.5">
      <c r="A289" s="966">
        <v>42</v>
      </c>
      <c r="B289" s="967" t="s">
        <v>200</v>
      </c>
      <c r="C289" s="1211">
        <v>522725</v>
      </c>
      <c r="D289" s="1211"/>
      <c r="E289" s="1211">
        <f t="shared" si="20"/>
        <v>522725</v>
      </c>
      <c r="F289" s="1211"/>
      <c r="G289" s="1211"/>
      <c r="H289" s="968">
        <f t="shared" si="21"/>
        <v>0</v>
      </c>
      <c r="I289" s="968"/>
      <c r="J289" s="1211"/>
      <c r="K289" s="968">
        <f t="shared" si="22"/>
        <v>522725</v>
      </c>
    </row>
    <row r="290" spans="1:14" ht="18.75">
      <c r="A290" s="966">
        <v>43</v>
      </c>
      <c r="B290" s="967" t="s">
        <v>201</v>
      </c>
      <c r="C290" s="1211">
        <v>60000</v>
      </c>
      <c r="D290" s="1211"/>
      <c r="E290" s="1211">
        <f t="shared" si="20"/>
        <v>60000</v>
      </c>
      <c r="F290" s="1211"/>
      <c r="G290" s="1211"/>
      <c r="H290" s="968">
        <f t="shared" si="21"/>
        <v>0</v>
      </c>
      <c r="I290" s="968"/>
      <c r="J290" s="1211"/>
      <c r="K290" s="968">
        <f t="shared" si="22"/>
        <v>60000</v>
      </c>
    </row>
    <row r="291" spans="1:14" ht="18.75">
      <c r="A291" s="966">
        <v>44</v>
      </c>
      <c r="B291" s="967" t="s">
        <v>202</v>
      </c>
      <c r="C291" s="1211">
        <v>52258</v>
      </c>
      <c r="D291" s="1211"/>
      <c r="E291" s="1211">
        <f t="shared" si="20"/>
        <v>52258</v>
      </c>
      <c r="F291" s="1211"/>
      <c r="G291" s="1211"/>
      <c r="H291" s="968">
        <f t="shared" si="21"/>
        <v>0</v>
      </c>
      <c r="I291" s="968"/>
      <c r="J291" s="1211"/>
      <c r="K291" s="968">
        <f t="shared" si="22"/>
        <v>52258</v>
      </c>
    </row>
    <row r="292" spans="1:14" ht="18.75">
      <c r="A292" s="966">
        <v>45</v>
      </c>
      <c r="B292" s="967" t="s">
        <v>203</v>
      </c>
      <c r="C292" s="1211">
        <v>1376628</v>
      </c>
      <c r="D292" s="1211">
        <v>457936</v>
      </c>
      <c r="E292" s="1211">
        <f t="shared" si="20"/>
        <v>1834564</v>
      </c>
      <c r="F292" s="1211"/>
      <c r="G292" s="1211"/>
      <c r="H292" s="968">
        <f t="shared" si="21"/>
        <v>0</v>
      </c>
      <c r="I292" s="968"/>
      <c r="J292" s="1211"/>
      <c r="K292" s="968">
        <f t="shared" si="22"/>
        <v>1834564</v>
      </c>
    </row>
    <row r="293" spans="1:14" ht="31.5">
      <c r="A293" s="966">
        <v>46</v>
      </c>
      <c r="B293" s="967" t="s">
        <v>204</v>
      </c>
      <c r="C293" s="1211">
        <v>60000</v>
      </c>
      <c r="D293" s="1211"/>
      <c r="E293" s="1211">
        <f t="shared" si="20"/>
        <v>60000</v>
      </c>
      <c r="F293" s="1211"/>
      <c r="G293" s="1211">
        <v>60000</v>
      </c>
      <c r="H293" s="968">
        <f t="shared" si="21"/>
        <v>60000</v>
      </c>
      <c r="I293" s="968"/>
      <c r="J293" s="1211"/>
      <c r="K293" s="968">
        <f t="shared" si="22"/>
        <v>0</v>
      </c>
    </row>
    <row r="294" spans="1:14" ht="47.25">
      <c r="A294" s="966">
        <v>47</v>
      </c>
      <c r="B294" s="967" t="s">
        <v>1698</v>
      </c>
      <c r="C294" s="1211"/>
      <c r="D294" s="1211">
        <v>2030000</v>
      </c>
      <c r="E294" s="1211">
        <f t="shared" si="20"/>
        <v>2030000</v>
      </c>
      <c r="F294" s="1211"/>
      <c r="G294" s="1211">
        <v>881674</v>
      </c>
      <c r="H294" s="968">
        <f t="shared" si="21"/>
        <v>881674</v>
      </c>
      <c r="I294" s="968"/>
      <c r="J294" s="1211"/>
      <c r="K294" s="968">
        <f t="shared" si="22"/>
        <v>1148326</v>
      </c>
    </row>
    <row r="295" spans="1:14" ht="18.75">
      <c r="A295" s="966">
        <v>48</v>
      </c>
      <c r="B295" s="978" t="s">
        <v>370</v>
      </c>
      <c r="C295" s="1229"/>
      <c r="D295" s="1229">
        <v>32500</v>
      </c>
      <c r="E295" s="1229">
        <f t="shared" si="20"/>
        <v>32500</v>
      </c>
      <c r="F295" s="1229"/>
      <c r="G295" s="1229">
        <v>32500</v>
      </c>
      <c r="H295" s="1223">
        <f t="shared" si="21"/>
        <v>32500</v>
      </c>
      <c r="I295" s="1223"/>
      <c r="J295" s="1229"/>
      <c r="K295" s="1223">
        <f t="shared" si="22"/>
        <v>0</v>
      </c>
    </row>
    <row r="296" spans="1:14" ht="23.25">
      <c r="A296" s="966">
        <v>49</v>
      </c>
      <c r="B296" s="1231" t="s">
        <v>156</v>
      </c>
      <c r="C296" s="1211">
        <v>319273</v>
      </c>
      <c r="D296" s="1211"/>
      <c r="E296" s="1211">
        <f t="shared" si="20"/>
        <v>319273</v>
      </c>
      <c r="F296" s="1211"/>
      <c r="G296" s="1211"/>
      <c r="H296" s="968">
        <f t="shared" si="21"/>
        <v>0</v>
      </c>
      <c r="I296" s="968"/>
      <c r="J296" s="989"/>
      <c r="K296" s="968">
        <f t="shared" si="22"/>
        <v>319273</v>
      </c>
    </row>
    <row r="297" spans="1:14">
      <c r="A297" s="128"/>
      <c r="B297" s="128" t="s">
        <v>1925</v>
      </c>
      <c r="C297" s="128">
        <f>SUM(C248:C296)</f>
        <v>6423852</v>
      </c>
      <c r="D297" s="128">
        <f t="shared" ref="D297:K297" si="23">SUM(D248:D296)</f>
        <v>32074685</v>
      </c>
      <c r="E297" s="128">
        <f t="shared" si="23"/>
        <v>38498537</v>
      </c>
      <c r="F297" s="128">
        <f t="shared" si="23"/>
        <v>753779</v>
      </c>
      <c r="G297" s="128">
        <f t="shared" si="23"/>
        <v>12657442</v>
      </c>
      <c r="H297" s="128">
        <f t="shared" si="23"/>
        <v>13411221</v>
      </c>
      <c r="I297" s="128">
        <f t="shared" si="23"/>
        <v>0</v>
      </c>
      <c r="J297" s="128">
        <f t="shared" si="23"/>
        <v>632519</v>
      </c>
      <c r="K297" s="128">
        <f t="shared" si="23"/>
        <v>24454797</v>
      </c>
      <c r="L297" s="102">
        <v>24454797</v>
      </c>
    </row>
    <row r="298" spans="1:14" ht="18.75">
      <c r="B298" s="1230" t="s">
        <v>1460</v>
      </c>
      <c r="C298" s="1230">
        <f>C297+C246+C40</f>
        <v>33546986</v>
      </c>
      <c r="D298" s="1230">
        <f t="shared" ref="D298:K298" si="24">D297+D246+D40</f>
        <v>51629974</v>
      </c>
      <c r="E298" s="1230">
        <f t="shared" si="24"/>
        <v>85176960</v>
      </c>
      <c r="F298" s="1230">
        <f t="shared" si="24"/>
        <v>1919724</v>
      </c>
      <c r="G298" s="1230">
        <f t="shared" si="24"/>
        <v>24427357</v>
      </c>
      <c r="H298" s="1230">
        <f t="shared" si="24"/>
        <v>26347081</v>
      </c>
      <c r="I298" s="1230">
        <f t="shared" si="24"/>
        <v>0</v>
      </c>
      <c r="J298" s="1230">
        <f t="shared" si="24"/>
        <v>2191344</v>
      </c>
      <c r="K298" s="1230">
        <f t="shared" si="24"/>
        <v>56638535</v>
      </c>
      <c r="L298" s="102">
        <f>SUM(L9:L297)</f>
        <v>56638535</v>
      </c>
      <c r="N298" s="972"/>
    </row>
    <row r="299" spans="1:14" ht="18.75">
      <c r="B299" s="1275"/>
      <c r="C299" s="1275"/>
      <c r="D299" s="1275"/>
      <c r="E299" s="1275"/>
      <c r="F299" s="1275"/>
      <c r="G299" s="1275"/>
      <c r="H299" s="1275"/>
      <c r="I299" s="1275"/>
      <c r="J299" s="1275"/>
      <c r="K299" s="1275"/>
      <c r="N299" s="972"/>
    </row>
    <row r="300" spans="1:14">
      <c r="D300" s="985"/>
      <c r="E300" s="985"/>
      <c r="F300" s="985"/>
      <c r="G300" s="985"/>
      <c r="H300" s="985"/>
      <c r="I300" s="985"/>
      <c r="J300" s="985"/>
      <c r="K300" s="986"/>
    </row>
    <row r="301" spans="1:14">
      <c r="A301" s="1377" t="s">
        <v>1929</v>
      </c>
      <c r="B301" s="1377"/>
      <c r="C301" s="1377"/>
      <c r="D301" s="1377"/>
      <c r="E301" s="1377"/>
      <c r="F301" s="1377"/>
      <c r="G301" s="1377"/>
      <c r="H301" s="1377"/>
      <c r="I301" s="1377"/>
      <c r="J301" s="1377"/>
      <c r="K301" s="1377"/>
    </row>
    <row r="302" spans="1:14">
      <c r="D302" s="972"/>
      <c r="E302" s="985"/>
      <c r="F302" s="985"/>
      <c r="G302" s="985"/>
      <c r="H302" s="985"/>
      <c r="I302" s="985"/>
    </row>
    <row r="303" spans="1:14">
      <c r="D303" s="987"/>
      <c r="K303" s="132"/>
    </row>
    <row r="304" spans="1:14">
      <c r="D304" s="137"/>
    </row>
    <row r="305" spans="2:9" ht="160.5" customHeight="1">
      <c r="B305" s="1231" t="s">
        <v>426</v>
      </c>
      <c r="C305" s="1237" t="s">
        <v>427</v>
      </c>
      <c r="D305" s="1237" t="s">
        <v>428</v>
      </c>
      <c r="E305" s="1237" t="s">
        <v>429</v>
      </c>
      <c r="F305" s="1237" t="s">
        <v>430</v>
      </c>
      <c r="G305" s="1237" t="s">
        <v>431</v>
      </c>
      <c r="H305" s="1237" t="s">
        <v>432</v>
      </c>
      <c r="I305" s="1237" t="s">
        <v>433</v>
      </c>
    </row>
    <row r="306" spans="2:9">
      <c r="B306" s="967" t="s">
        <v>434</v>
      </c>
      <c r="C306" s="968">
        <v>-140598</v>
      </c>
      <c r="D306" s="968"/>
      <c r="E306" s="968">
        <f t="shared" ref="E306:E316" si="25">C306+D306</f>
        <v>-140598</v>
      </c>
      <c r="F306" s="968"/>
      <c r="G306" s="968"/>
      <c r="H306" s="968"/>
      <c r="I306" s="968">
        <f t="shared" ref="I306:I316" si="26">E306-F306-G306-H306</f>
        <v>-140598</v>
      </c>
    </row>
    <row r="307" spans="2:9">
      <c r="B307" s="1141" t="s">
        <v>435</v>
      </c>
      <c r="C307" s="968">
        <v>389732</v>
      </c>
      <c r="D307" s="968">
        <v>8618</v>
      </c>
      <c r="E307" s="968">
        <f t="shared" si="25"/>
        <v>398350</v>
      </c>
      <c r="F307" s="968">
        <v>575447</v>
      </c>
      <c r="G307" s="968"/>
      <c r="H307" s="968">
        <v>8618</v>
      </c>
      <c r="I307" s="968">
        <f t="shared" si="26"/>
        <v>-185715</v>
      </c>
    </row>
    <row r="308" spans="2:9">
      <c r="B308" s="967" t="s">
        <v>436</v>
      </c>
      <c r="C308" s="1238">
        <v>-129144</v>
      </c>
      <c r="D308" s="968"/>
      <c r="E308" s="968">
        <f t="shared" si="25"/>
        <v>-129144</v>
      </c>
      <c r="F308" s="968">
        <v>423120</v>
      </c>
      <c r="G308" s="968"/>
      <c r="H308" s="968"/>
      <c r="I308" s="968">
        <f t="shared" si="26"/>
        <v>-552264</v>
      </c>
    </row>
    <row r="309" spans="2:9">
      <c r="B309" s="967" t="s">
        <v>437</v>
      </c>
      <c r="C309" s="968">
        <v>-37008</v>
      </c>
      <c r="D309" s="968"/>
      <c r="E309" s="968">
        <f t="shared" si="25"/>
        <v>-37008</v>
      </c>
      <c r="F309" s="968"/>
      <c r="G309" s="968"/>
      <c r="H309" s="968"/>
      <c r="I309" s="968">
        <f t="shared" si="26"/>
        <v>-37008</v>
      </c>
    </row>
    <row r="310" spans="2:9">
      <c r="B310" s="967" t="s">
        <v>438</v>
      </c>
      <c r="C310" s="1238">
        <v>-13907</v>
      </c>
      <c r="D310" s="968"/>
      <c r="E310" s="968">
        <f t="shared" si="25"/>
        <v>-13907</v>
      </c>
      <c r="F310" s="968"/>
      <c r="G310" s="968"/>
      <c r="H310" s="968"/>
      <c r="I310" s="968">
        <f t="shared" si="26"/>
        <v>-13907</v>
      </c>
    </row>
    <row r="311" spans="2:9" ht="31.5">
      <c r="B311" s="967" t="s">
        <v>439</v>
      </c>
      <c r="C311" s="1238">
        <v>-12661</v>
      </c>
      <c r="D311" s="968"/>
      <c r="E311" s="968">
        <f t="shared" si="25"/>
        <v>-12661</v>
      </c>
      <c r="F311" s="968"/>
      <c r="G311" s="968"/>
      <c r="H311" s="968"/>
      <c r="I311" s="968">
        <f t="shared" si="26"/>
        <v>-12661</v>
      </c>
    </row>
    <row r="312" spans="2:9">
      <c r="B312" s="967" t="s">
        <v>440</v>
      </c>
      <c r="C312" s="1238">
        <v>-8722</v>
      </c>
      <c r="D312" s="968"/>
      <c r="E312" s="968">
        <f t="shared" si="25"/>
        <v>-8722</v>
      </c>
      <c r="F312" s="968"/>
      <c r="G312" s="968"/>
      <c r="H312" s="968"/>
      <c r="I312" s="968">
        <f t="shared" si="26"/>
        <v>-8722</v>
      </c>
    </row>
    <row r="313" spans="2:9">
      <c r="B313" s="967" t="s">
        <v>441</v>
      </c>
      <c r="C313" s="968">
        <v>-184210</v>
      </c>
      <c r="D313" s="968">
        <v>99213</v>
      </c>
      <c r="E313" s="968">
        <f t="shared" si="25"/>
        <v>-84997</v>
      </c>
      <c r="F313" s="968"/>
      <c r="G313" s="968"/>
      <c r="H313" s="968"/>
      <c r="I313" s="968">
        <f t="shared" si="26"/>
        <v>-84997</v>
      </c>
    </row>
    <row r="314" spans="2:9">
      <c r="B314" s="967" t="s">
        <v>442</v>
      </c>
      <c r="C314" s="1238">
        <v>-14940</v>
      </c>
      <c r="D314" s="1239"/>
      <c r="E314" s="968">
        <f t="shared" si="25"/>
        <v>-14940</v>
      </c>
      <c r="F314" s="968"/>
      <c r="G314" s="968"/>
      <c r="H314" s="968"/>
      <c r="I314" s="968">
        <f t="shared" si="26"/>
        <v>-14940</v>
      </c>
    </row>
    <row r="315" spans="2:9" ht="31.5">
      <c r="B315" s="1240" t="s">
        <v>443</v>
      </c>
      <c r="C315" s="968">
        <v>0</v>
      </c>
      <c r="D315" s="968">
        <v>160000</v>
      </c>
      <c r="E315" s="968">
        <f t="shared" si="25"/>
        <v>160000</v>
      </c>
      <c r="F315" s="968">
        <v>190000</v>
      </c>
      <c r="G315" s="968"/>
      <c r="H315" s="968"/>
      <c r="I315" s="968">
        <f t="shared" si="26"/>
        <v>-30000</v>
      </c>
    </row>
    <row r="316" spans="2:9">
      <c r="B316" s="976" t="s">
        <v>444</v>
      </c>
      <c r="C316" s="968">
        <v>0</v>
      </c>
      <c r="D316" s="968">
        <v>2117063</v>
      </c>
      <c r="E316" s="968">
        <f t="shared" si="25"/>
        <v>2117063</v>
      </c>
      <c r="F316" s="968">
        <v>2583910</v>
      </c>
      <c r="G316" s="968"/>
      <c r="H316" s="968"/>
      <c r="I316" s="968">
        <f t="shared" si="26"/>
        <v>-466847</v>
      </c>
    </row>
    <row r="317" spans="2:9">
      <c r="B317" s="1241"/>
      <c r="C317" s="1140">
        <f>SUM(C306:C316)</f>
        <v>-151458</v>
      </c>
      <c r="D317" s="1140">
        <f t="shared" ref="D317:I317" si="27">SUM(D306:D316)</f>
        <v>2384894</v>
      </c>
      <c r="E317" s="1140">
        <f t="shared" si="27"/>
        <v>2233436</v>
      </c>
      <c r="F317" s="1140">
        <f t="shared" si="27"/>
        <v>3772477</v>
      </c>
      <c r="G317" s="1140">
        <f t="shared" si="27"/>
        <v>0</v>
      </c>
      <c r="H317" s="1140">
        <f t="shared" si="27"/>
        <v>8618</v>
      </c>
      <c r="I317" s="1140">
        <f t="shared" si="27"/>
        <v>-1547659</v>
      </c>
    </row>
  </sheetData>
  <autoFilter ref="A1:A317" xr:uid="{00000000-0009-0000-0000-000006000000}"/>
  <mergeCells count="6">
    <mergeCell ref="A301:K301"/>
    <mergeCell ref="A1:K1"/>
    <mergeCell ref="A2:K2"/>
    <mergeCell ref="A3:K3"/>
    <mergeCell ref="J4:K4"/>
    <mergeCell ref="I5:I6"/>
  </mergeCells>
  <printOptions horizontalCentered="1" verticalCentered="1"/>
  <pageMargins left="0" right="0" top="0" bottom="0" header="0.35433070866141703" footer="0.31496062992126"/>
  <pageSetup paperSize="9" scale="80" fitToHeight="0" orientation="landscape" r:id="rId1"/>
  <headerFooter alignWithMargins="0"/>
  <rowBreaks count="2" manualBreakCount="2">
    <brk id="246" max="10" man="1"/>
    <brk id="269" max="10" man="1"/>
  </rowBreaks>
  <colBreaks count="1" manualBreakCount="1">
    <brk id="11" max="1048575" man="1"/>
  </col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2:D17"/>
  <sheetViews>
    <sheetView view="pageBreakPreview" zoomScale="145" zoomScaleNormal="100" workbookViewId="0">
      <selection activeCell="F8" sqref="F8"/>
    </sheetView>
  </sheetViews>
  <sheetFormatPr defaultColWidth="9" defaultRowHeight="12.75"/>
  <cols>
    <col min="1" max="1" width="7.42578125" customWidth="1"/>
    <col min="2" max="3" width="21.85546875" customWidth="1"/>
  </cols>
  <sheetData>
    <row r="2" spans="1:3" ht="22.5" customHeight="1">
      <c r="A2" s="1714" t="s">
        <v>1915</v>
      </c>
      <c r="B2" s="1715"/>
      <c r="C2" s="1715"/>
    </row>
    <row r="4" spans="1:3" ht="15">
      <c r="A4" s="1706" t="s">
        <v>0</v>
      </c>
      <c r="B4" s="1706"/>
      <c r="C4" s="1706"/>
    </row>
    <row r="5" spans="1:3" ht="15">
      <c r="A5" s="1707" t="s">
        <v>43</v>
      </c>
      <c r="B5" s="1707"/>
      <c r="C5" s="1707"/>
    </row>
    <row r="7" spans="1:3" ht="15">
      <c r="A7" s="1707" t="s">
        <v>1616</v>
      </c>
      <c r="B7" s="1707"/>
      <c r="C7" s="1707"/>
    </row>
    <row r="8" spans="1:3" ht="36.75" customHeight="1">
      <c r="A8" s="1708" t="s">
        <v>1617</v>
      </c>
      <c r="B8" s="1708"/>
      <c r="C8" s="1708"/>
    </row>
    <row r="9" spans="1:3" ht="13.5" thickBot="1"/>
    <row r="10" spans="1:3" ht="15.75" thickBot="1">
      <c r="A10" s="2" t="s">
        <v>605</v>
      </c>
      <c r="B10" s="3" t="s">
        <v>680</v>
      </c>
      <c r="C10" s="4" t="s">
        <v>534</v>
      </c>
    </row>
    <row r="11" spans="1:3" ht="15">
      <c r="A11" s="1163">
        <v>1</v>
      </c>
      <c r="B11" s="1164" t="s">
        <v>1535</v>
      </c>
      <c r="C11" s="394">
        <v>4583891</v>
      </c>
    </row>
    <row r="12" spans="1:3" ht="15">
      <c r="A12" s="1165">
        <v>2</v>
      </c>
      <c r="B12" s="1166" t="s">
        <v>1799</v>
      </c>
      <c r="C12" s="394">
        <v>1133329</v>
      </c>
    </row>
    <row r="13" spans="1:3" ht="15">
      <c r="A13" s="1165">
        <v>3</v>
      </c>
      <c r="B13" s="1166" t="s">
        <v>1800</v>
      </c>
      <c r="C13" s="394">
        <f>1279536+102130</f>
        <v>1381666</v>
      </c>
    </row>
    <row r="14" spans="1:3" ht="15">
      <c r="A14" s="1167">
        <v>4</v>
      </c>
      <c r="B14" s="1168" t="s">
        <v>1801</v>
      </c>
      <c r="C14" s="394">
        <v>587248</v>
      </c>
    </row>
    <row r="15" spans="1:3" ht="15">
      <c r="A15" s="1167">
        <v>5</v>
      </c>
      <c r="B15" s="1168" t="s">
        <v>1802</v>
      </c>
      <c r="C15" s="394">
        <v>329500</v>
      </c>
    </row>
    <row r="16" spans="1:3" ht="15.75" thickBot="1">
      <c r="A16" s="6"/>
      <c r="B16" s="7"/>
      <c r="C16" s="1169">
        <f>SUM(C11:C15)</f>
        <v>8015634</v>
      </c>
    </row>
    <row r="17" spans="4:4">
      <c r="D17">
        <f>SUM(D9:D16)</f>
        <v>0</v>
      </c>
    </row>
  </sheetData>
  <mergeCells count="5">
    <mergeCell ref="A2:C2"/>
    <mergeCell ref="A4:C4"/>
    <mergeCell ref="A5:C5"/>
    <mergeCell ref="A7:C7"/>
    <mergeCell ref="A8:C8"/>
  </mergeCells>
  <printOptions horizontalCentered="1" verticalCentered="1"/>
  <pageMargins left="0" right="0" top="0" bottom="0" header="0.35433070866141703" footer="0.31496062992126"/>
  <pageSetup paperSize="9" scale="9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
  <sheetViews>
    <sheetView workbookViewId="0"/>
  </sheetViews>
  <sheetFormatPr defaultRowHeight="12.7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40"/>
  <sheetViews>
    <sheetView view="pageBreakPreview" zoomScale="85" zoomScaleNormal="100" workbookViewId="0">
      <pane xSplit="1" ySplit="7" topLeftCell="D26" activePane="bottomRight" state="frozen"/>
      <selection pane="topRight"/>
      <selection pane="bottomLeft"/>
      <selection pane="bottomRight" activeCell="H5" sqref="H5:H6"/>
    </sheetView>
  </sheetViews>
  <sheetFormatPr defaultColWidth="23.28515625" defaultRowHeight="12.75"/>
  <cols>
    <col min="1" max="1" width="42.28515625" style="380" customWidth="1"/>
    <col min="2" max="2" width="20" style="402" customWidth="1"/>
    <col min="3" max="3" width="14.42578125" style="402" customWidth="1"/>
    <col min="4" max="4" width="16" style="402" customWidth="1"/>
    <col min="5" max="5" width="18.42578125" style="380" customWidth="1"/>
    <col min="6" max="6" width="17.5703125" style="402" customWidth="1"/>
    <col min="7" max="7" width="14.85546875" style="402" customWidth="1"/>
    <col min="8" max="8" width="18.28515625" style="402" customWidth="1"/>
    <col min="9" max="9" width="17.28515625" style="380" customWidth="1"/>
    <col min="10" max="10" width="16.5703125" style="380" customWidth="1"/>
    <col min="11" max="11" width="15.85546875" style="402" customWidth="1"/>
    <col min="12" max="12" width="12.42578125" style="402" customWidth="1"/>
    <col min="13" max="13" width="22" style="402" customWidth="1"/>
    <col min="14" max="14" width="17.140625" style="402" customWidth="1"/>
    <col min="15" max="15" width="15.140625" style="402" customWidth="1"/>
    <col min="16" max="16" width="18.85546875" style="402" customWidth="1"/>
    <col min="17" max="16384" width="23.28515625" style="402"/>
  </cols>
  <sheetData>
    <row r="1" spans="1:16" ht="15.75">
      <c r="A1" s="1322" t="s">
        <v>1910</v>
      </c>
      <c r="B1" s="1322"/>
      <c r="C1" s="1322"/>
      <c r="D1" s="1322"/>
      <c r="E1" s="1322"/>
      <c r="F1" s="1322"/>
      <c r="G1" s="1322"/>
      <c r="H1" s="1322"/>
      <c r="I1" s="1322"/>
      <c r="J1" s="1322"/>
      <c r="K1" s="1322"/>
    </row>
    <row r="2" spans="1:16" ht="15.75">
      <c r="A2" s="1322" t="s">
        <v>43</v>
      </c>
      <c r="B2" s="1322"/>
      <c r="C2" s="1322"/>
      <c r="D2" s="1322"/>
      <c r="E2" s="1322"/>
      <c r="F2" s="1322"/>
      <c r="G2" s="1322"/>
      <c r="H2" s="1322"/>
      <c r="I2" s="1322"/>
      <c r="J2" s="1322"/>
      <c r="K2" s="1322"/>
    </row>
    <row r="3" spans="1:16" ht="16.5" customHeight="1">
      <c r="A3" s="382"/>
      <c r="B3" s="570"/>
      <c r="C3" s="570"/>
      <c r="D3" s="570"/>
      <c r="E3" s="356"/>
      <c r="F3" s="570"/>
      <c r="G3" s="570"/>
      <c r="H3" s="570"/>
      <c r="I3" s="356"/>
      <c r="J3" s="1394" t="s">
        <v>68</v>
      </c>
      <c r="K3" s="1394"/>
    </row>
    <row r="4" spans="1:16" s="639" customFormat="1" ht="34.5" customHeight="1">
      <c r="A4" s="941" t="s">
        <v>445</v>
      </c>
      <c r="B4" s="1395" t="s">
        <v>446</v>
      </c>
      <c r="C4" s="1395"/>
      <c r="D4" s="1395"/>
      <c r="E4" s="1395"/>
      <c r="F4" s="1396" t="s">
        <v>39</v>
      </c>
      <c r="G4" s="1396"/>
      <c r="H4" s="1396"/>
      <c r="I4" s="1396"/>
      <c r="J4" s="1396" t="s">
        <v>447</v>
      </c>
      <c r="K4" s="1396"/>
      <c r="L4" s="1382"/>
      <c r="M4" s="1384"/>
      <c r="N4" s="1386"/>
      <c r="O4" s="1389"/>
    </row>
    <row r="5" spans="1:16" s="940" customFormat="1" ht="12.75" customHeight="1">
      <c r="A5" s="1391" t="s">
        <v>448</v>
      </c>
      <c r="B5" s="1391" t="s">
        <v>449</v>
      </c>
      <c r="C5" s="1391" t="s">
        <v>450</v>
      </c>
      <c r="D5" s="1391" t="s">
        <v>451</v>
      </c>
      <c r="E5" s="1391" t="s">
        <v>452</v>
      </c>
      <c r="F5" s="1391" t="s">
        <v>453</v>
      </c>
      <c r="G5" s="1391" t="s">
        <v>454</v>
      </c>
      <c r="H5" s="1392" t="s">
        <v>455</v>
      </c>
      <c r="I5" s="1393" t="s">
        <v>456</v>
      </c>
      <c r="J5" s="1391" t="s">
        <v>457</v>
      </c>
      <c r="K5" s="1391" t="s">
        <v>458</v>
      </c>
      <c r="L5" s="1383"/>
      <c r="M5" s="1385"/>
      <c r="N5" s="1387"/>
      <c r="O5" s="1387"/>
    </row>
    <row r="6" spans="1:16" s="940" customFormat="1" ht="60" customHeight="1">
      <c r="A6" s="1391"/>
      <c r="B6" s="1391"/>
      <c r="C6" s="1391"/>
      <c r="D6" s="1391"/>
      <c r="E6" s="1391"/>
      <c r="F6" s="1391"/>
      <c r="G6" s="1391"/>
      <c r="H6" s="1391"/>
      <c r="I6" s="1393"/>
      <c r="J6" s="1391"/>
      <c r="K6" s="1391"/>
      <c r="L6" s="1383"/>
      <c r="M6" s="1385"/>
      <c r="N6" s="1388"/>
      <c r="O6" s="1388"/>
    </row>
    <row r="7" spans="1:16" s="639" customFormat="1">
      <c r="A7" s="926"/>
      <c r="B7" s="889">
        <v>1</v>
      </c>
      <c r="C7" s="889">
        <v>2</v>
      </c>
      <c r="D7" s="889">
        <v>3</v>
      </c>
      <c r="E7" s="889">
        <v>4</v>
      </c>
      <c r="F7" s="889">
        <v>5</v>
      </c>
      <c r="G7" s="889">
        <v>6</v>
      </c>
      <c r="H7" s="889">
        <v>7</v>
      </c>
      <c r="I7" s="889">
        <v>8</v>
      </c>
      <c r="J7" s="889">
        <v>9</v>
      </c>
      <c r="K7" s="889">
        <v>10</v>
      </c>
      <c r="L7" s="946"/>
      <c r="M7" s="940"/>
      <c r="N7" s="940"/>
      <c r="O7" s="940"/>
    </row>
    <row r="8" spans="1:16" ht="15">
      <c r="A8" s="718" t="s">
        <v>459</v>
      </c>
      <c r="B8" s="394"/>
      <c r="C8" s="394"/>
      <c r="D8" s="394"/>
      <c r="E8" s="342"/>
      <c r="F8" s="394"/>
      <c r="G8" s="394"/>
      <c r="H8" s="394"/>
      <c r="I8" s="342"/>
      <c r="J8" s="342"/>
      <c r="K8" s="394"/>
      <c r="L8" s="897"/>
    </row>
    <row r="9" spans="1:16" ht="15">
      <c r="A9" s="718" t="s">
        <v>460</v>
      </c>
      <c r="B9" s="394"/>
      <c r="C9" s="394"/>
      <c r="D9" s="394"/>
      <c r="E9" s="942"/>
      <c r="F9" s="394"/>
      <c r="G9" s="394"/>
      <c r="H9" s="394"/>
      <c r="I9" s="342"/>
      <c r="J9" s="342"/>
      <c r="K9" s="394"/>
      <c r="L9" s="947"/>
      <c r="M9" s="948"/>
      <c r="N9" s="948"/>
    </row>
    <row r="10" spans="1:16" ht="15">
      <c r="A10" s="718" t="s">
        <v>461</v>
      </c>
      <c r="B10" s="394">
        <v>938928</v>
      </c>
      <c r="C10" s="394">
        <f>'(9) 5-A'!C10+'(10) 5-B'!C10+'(11) 5-C'!C10+'(12) 5-D'!C10+'(13) 5-E'!C10</f>
        <v>0</v>
      </c>
      <c r="D10" s="394">
        <f>'(9) 5-A'!D10+'(10) 5-B'!D10+'(11) 5-C'!D10+'(12) 5-D'!D10+'(13) 5-E'!D10</f>
        <v>0</v>
      </c>
      <c r="E10" s="394">
        <f>B10+C10-D10</f>
        <v>938928</v>
      </c>
      <c r="F10" s="394">
        <f>'(9) 5-A'!F10+'(10) 5-B'!F10+'(11) 5-C'!F10+'(12) 5-D'!F10+'(13) 5-E'!F10</f>
        <v>0</v>
      </c>
      <c r="G10" s="394">
        <f>'(9) 5-A'!G10+'(10) 5-B'!G10+'(11) 5-C'!G10+'(12) 5-D'!G10+'(13) 5-E'!G10</f>
        <v>0</v>
      </c>
      <c r="H10" s="394">
        <f>'(9) 5-A'!H10+'(10) 5-B'!H10+'(11) 5-C'!H10+'(12) 5-D'!H10+'(13) 5-E'!H10</f>
        <v>0</v>
      </c>
      <c r="I10" s="394">
        <f>F10+G10-H10</f>
        <v>0</v>
      </c>
      <c r="J10" s="394">
        <f>E10-I10</f>
        <v>938928</v>
      </c>
      <c r="K10" s="394">
        <v>938928</v>
      </c>
      <c r="L10" s="947"/>
      <c r="M10" s="949"/>
      <c r="N10" s="949"/>
    </row>
    <row r="11" spans="1:16" ht="15">
      <c r="A11" s="718" t="s">
        <v>462</v>
      </c>
      <c r="B11" s="394">
        <v>0</v>
      </c>
      <c r="C11" s="394">
        <f>'(9) 5-A'!C11+'(10) 5-B'!C11+'(11) 5-C'!C11+'(12) 5-D'!C11+'(13) 5-E'!C11</f>
        <v>0</v>
      </c>
      <c r="D11" s="394">
        <f>'(9) 5-A'!D11+'(10) 5-B'!D11+'(11) 5-C'!D11+'(12) 5-D'!D11+'(13) 5-E'!D11</f>
        <v>0</v>
      </c>
      <c r="E11" s="394">
        <f t="shared" ref="E11:E43" si="0">B11+C11-D11</f>
        <v>0</v>
      </c>
      <c r="F11" s="394">
        <f>'(9) 5-A'!F11+'(10) 5-B'!F11+'(11) 5-C'!F11+'(12) 5-D'!F11+'(13) 5-E'!F11</f>
        <v>0</v>
      </c>
      <c r="G11" s="394">
        <f>'(9) 5-A'!G11+'(10) 5-B'!G11+'(11) 5-C'!G11+'(12) 5-D'!G11+'(13) 5-E'!G11</f>
        <v>0</v>
      </c>
      <c r="H11" s="394">
        <f>'(9) 5-A'!H11+'(10) 5-B'!H11+'(11) 5-C'!H11+'(12) 5-D'!H11+'(13) 5-E'!H11</f>
        <v>0</v>
      </c>
      <c r="I11" s="394">
        <f t="shared" ref="I11:I42" si="1">F11+G11-H11</f>
        <v>0</v>
      </c>
      <c r="J11" s="394">
        <f>E11-I11</f>
        <v>0</v>
      </c>
      <c r="K11" s="394">
        <v>0</v>
      </c>
      <c r="L11" s="947"/>
      <c r="M11" s="949"/>
      <c r="N11" s="949"/>
    </row>
    <row r="12" spans="1:16" ht="15">
      <c r="A12" s="718"/>
      <c r="B12" s="394"/>
      <c r="C12" s="394">
        <f>'(9) 5-A'!C12+'(10) 5-B'!C12+'(11) 5-C'!C12+'(12) 5-D'!C12+'(13) 5-E'!C12</f>
        <v>0</v>
      </c>
      <c r="D12" s="394">
        <f>'(9) 5-A'!D12+'(10) 5-B'!D12+'(11) 5-C'!D12+'(12) 5-D'!D12+'(13) 5-E'!D12</f>
        <v>0</v>
      </c>
      <c r="E12" s="394">
        <f t="shared" si="0"/>
        <v>0</v>
      </c>
      <c r="F12" s="394">
        <f>'(9) 5-A'!F12+'(10) 5-B'!F12+'(11) 5-C'!F12+'(12) 5-D'!F12+'(13) 5-E'!F12</f>
        <v>0</v>
      </c>
      <c r="G12" s="394">
        <f>'(9) 5-A'!G12+'(10) 5-B'!G12+'(11) 5-C'!G12+'(12) 5-D'!G12+'(13) 5-E'!G12</f>
        <v>0</v>
      </c>
      <c r="H12" s="394">
        <f>'(9) 5-A'!H12+'(10) 5-B'!H12+'(11) 5-C'!H12+'(12) 5-D'!H12+'(13) 5-E'!H12</f>
        <v>0</v>
      </c>
      <c r="I12" s="394">
        <f t="shared" si="1"/>
        <v>0</v>
      </c>
      <c r="J12" s="394"/>
      <c r="K12" s="394"/>
      <c r="L12" s="947"/>
      <c r="M12" s="949"/>
      <c r="N12" s="948"/>
    </row>
    <row r="13" spans="1:16" ht="15">
      <c r="A13" s="718" t="s">
        <v>463</v>
      </c>
      <c r="B13" s="394">
        <v>267992513</v>
      </c>
      <c r="C13" s="394">
        <f>'(9) 5-A'!C13+'(10) 5-B'!C13+'(11) 5-C'!C13+'(12) 5-D'!C13+'(13) 5-E'!C13</f>
        <v>10389285</v>
      </c>
      <c r="D13" s="394">
        <f>'(9) 5-A'!D13+'(10) 5-B'!D13+'(11) 5-C'!D13+'(12) 5-D'!D13+'(13) 5-E'!D13</f>
        <v>0</v>
      </c>
      <c r="E13" s="394">
        <f t="shared" si="0"/>
        <v>278381798</v>
      </c>
      <c r="F13" s="394">
        <f>'(9) 5-A'!F13+'(10) 5-B'!F13+'(11) 5-C'!F13+'(12) 5-D'!F13+'(13) 5-E'!F13</f>
        <v>52115785</v>
      </c>
      <c r="G13" s="394">
        <f>'(9) 5-A'!G13+'(10) 5-B'!G13+'(11) 5-C'!G13+'(12) 5-D'!G13+'(13) 5-E'!G13</f>
        <v>5567636</v>
      </c>
      <c r="H13" s="394">
        <f>'(9) 5-A'!H13+'(10) 5-B'!H13+'(11) 5-C'!H13+'(12) 5-D'!H13+'(13) 5-E'!H13</f>
        <v>0</v>
      </c>
      <c r="I13" s="394">
        <f t="shared" si="1"/>
        <v>57683421</v>
      </c>
      <c r="J13" s="394">
        <f t="shared" ref="J13:J43" si="2">E13-I13</f>
        <v>220698377</v>
      </c>
      <c r="K13" s="394">
        <v>215876728</v>
      </c>
      <c r="L13" s="947"/>
      <c r="M13" s="950"/>
      <c r="N13" s="950"/>
      <c r="P13" s="799"/>
    </row>
    <row r="14" spans="1:16" ht="15">
      <c r="A14" s="718"/>
      <c r="B14" s="394"/>
      <c r="C14" s="394">
        <f>'(9) 5-A'!C14+'(10) 5-B'!C14+'(11) 5-C'!C14+'(12) 5-D'!C14+'(13) 5-E'!C14</f>
        <v>0</v>
      </c>
      <c r="D14" s="394">
        <f>'(9) 5-A'!D14+'(10) 5-B'!D14+'(11) 5-C'!D14+'(12) 5-D'!D14+'(13) 5-E'!D14</f>
        <v>0</v>
      </c>
      <c r="E14" s="394">
        <f t="shared" si="0"/>
        <v>0</v>
      </c>
      <c r="F14" s="394">
        <f>'(9) 5-A'!F14+'(10) 5-B'!F14+'(11) 5-C'!F14+'(12) 5-D'!F14+'(13) 5-E'!F14</f>
        <v>0</v>
      </c>
      <c r="G14" s="394">
        <f>'(9) 5-A'!G14+'(10) 5-B'!G14+'(11) 5-C'!G14+'(12) 5-D'!G14+'(13) 5-E'!G14</f>
        <v>0</v>
      </c>
      <c r="H14" s="394">
        <f>'(9) 5-A'!H14+'(10) 5-B'!H14+'(11) 5-C'!H14+'(12) 5-D'!H14+'(13) 5-E'!H14</f>
        <v>0</v>
      </c>
      <c r="I14" s="394">
        <f t="shared" si="1"/>
        <v>0</v>
      </c>
      <c r="J14" s="394"/>
      <c r="K14" s="394"/>
      <c r="L14" s="947"/>
      <c r="M14" s="950"/>
      <c r="N14" s="950"/>
      <c r="P14" s="799"/>
    </row>
    <row r="15" spans="1:16" ht="15">
      <c r="A15" s="718" t="s">
        <v>464</v>
      </c>
      <c r="B15" s="394">
        <v>0</v>
      </c>
      <c r="C15" s="394">
        <f>'(9) 5-A'!C15+'(10) 5-B'!C15+'(11) 5-C'!C15+'(12) 5-D'!C15+'(13) 5-E'!C15</f>
        <v>0</v>
      </c>
      <c r="D15" s="394">
        <f>'(9) 5-A'!D15+'(10) 5-B'!D15+'(11) 5-C'!D15+'(12) 5-D'!D15+'(13) 5-E'!D15</f>
        <v>0</v>
      </c>
      <c r="E15" s="394">
        <f t="shared" si="0"/>
        <v>0</v>
      </c>
      <c r="F15" s="394">
        <f>'(9) 5-A'!F15+'(10) 5-B'!F15+'(11) 5-C'!F15+'(12) 5-D'!F15+'(13) 5-E'!F15</f>
        <v>0</v>
      </c>
      <c r="G15" s="394">
        <f>'(9) 5-A'!G15+'(10) 5-B'!G15+'(11) 5-C'!G15+'(12) 5-D'!G15+'(13) 5-E'!G15</f>
        <v>0</v>
      </c>
      <c r="H15" s="394">
        <f>'(9) 5-A'!H15+'(10) 5-B'!H15+'(11) 5-C'!H15+'(12) 5-D'!H15+'(13) 5-E'!H15</f>
        <v>0</v>
      </c>
      <c r="I15" s="394">
        <f t="shared" si="1"/>
        <v>0</v>
      </c>
      <c r="J15" s="394">
        <f t="shared" si="2"/>
        <v>0</v>
      </c>
      <c r="K15" s="394">
        <v>0</v>
      </c>
      <c r="L15" s="947"/>
      <c r="M15" s="950"/>
      <c r="N15" s="950"/>
      <c r="P15" s="799"/>
    </row>
    <row r="16" spans="1:16" ht="15">
      <c r="A16" s="718"/>
      <c r="B16" s="394"/>
      <c r="C16" s="394">
        <f>'(9) 5-A'!C16+'(10) 5-B'!C16+'(11) 5-C'!C16+'(12) 5-D'!C16+'(13) 5-E'!C16</f>
        <v>0</v>
      </c>
      <c r="D16" s="394">
        <f>'(9) 5-A'!D16+'(10) 5-B'!D16+'(11) 5-C'!D16+'(12) 5-D'!D16+'(13) 5-E'!D16</f>
        <v>0</v>
      </c>
      <c r="E16" s="394">
        <f t="shared" si="0"/>
        <v>0</v>
      </c>
      <c r="F16" s="394">
        <f>'(9) 5-A'!F16+'(10) 5-B'!F16+'(11) 5-C'!F16+'(12) 5-D'!F16+'(13) 5-E'!F16</f>
        <v>0</v>
      </c>
      <c r="G16" s="394">
        <f>'(9) 5-A'!G16+'(10) 5-B'!G16+'(11) 5-C'!G16+'(12) 5-D'!G16+'(13) 5-E'!G16</f>
        <v>0</v>
      </c>
      <c r="H16" s="394">
        <f>'(9) 5-A'!H16+'(10) 5-B'!H16+'(11) 5-C'!H16+'(12) 5-D'!H16+'(13) 5-E'!H16</f>
        <v>0</v>
      </c>
      <c r="I16" s="394">
        <f t="shared" si="1"/>
        <v>0</v>
      </c>
      <c r="J16" s="394"/>
      <c r="K16" s="394"/>
      <c r="L16" s="947"/>
      <c r="M16" s="950"/>
      <c r="N16" s="950"/>
      <c r="P16" s="799"/>
    </row>
    <row r="17" spans="1:16" ht="15">
      <c r="A17" s="718" t="s">
        <v>465</v>
      </c>
      <c r="B17" s="394">
        <v>0</v>
      </c>
      <c r="C17" s="394">
        <f>'(9) 5-A'!C17+'(10) 5-B'!C17+'(11) 5-C'!C17+'(12) 5-D'!C17+'(13) 5-E'!C17</f>
        <v>0</v>
      </c>
      <c r="D17" s="394">
        <f>'(9) 5-A'!D17+'(10) 5-B'!D17+'(11) 5-C'!D17+'(12) 5-D'!D17+'(13) 5-E'!D17</f>
        <v>0</v>
      </c>
      <c r="E17" s="394">
        <f t="shared" si="0"/>
        <v>0</v>
      </c>
      <c r="F17" s="394">
        <f>'(9) 5-A'!F17+'(10) 5-B'!F17+'(11) 5-C'!F17+'(12) 5-D'!F17+'(13) 5-E'!F17</f>
        <v>0</v>
      </c>
      <c r="G17" s="394">
        <f>'(9) 5-A'!G17+'(10) 5-B'!G17+'(11) 5-C'!G17+'(12) 5-D'!G17+'(13) 5-E'!G17</f>
        <v>0</v>
      </c>
      <c r="H17" s="394">
        <f>'(9) 5-A'!H17+'(10) 5-B'!H17+'(11) 5-C'!H17+'(12) 5-D'!H17+'(13) 5-E'!H17</f>
        <v>0</v>
      </c>
      <c r="I17" s="394">
        <f t="shared" si="1"/>
        <v>0</v>
      </c>
      <c r="J17" s="394">
        <f t="shared" si="2"/>
        <v>0</v>
      </c>
      <c r="K17" s="394">
        <v>0</v>
      </c>
      <c r="L17" s="947"/>
      <c r="M17" s="950"/>
      <c r="N17" s="950"/>
      <c r="P17" s="799"/>
    </row>
    <row r="18" spans="1:16" ht="15">
      <c r="A18" s="718"/>
      <c r="B18" s="394"/>
      <c r="C18" s="394">
        <f>'(9) 5-A'!C18+'(10) 5-B'!C18+'(11) 5-C'!C18+'(12) 5-D'!C18+'(13) 5-E'!C18</f>
        <v>0</v>
      </c>
      <c r="D18" s="394">
        <f>'(9) 5-A'!D18+'(10) 5-B'!D18+'(11) 5-C'!D18+'(12) 5-D'!D18+'(13) 5-E'!D18</f>
        <v>0</v>
      </c>
      <c r="E18" s="394">
        <f t="shared" si="0"/>
        <v>0</v>
      </c>
      <c r="F18" s="394">
        <f>'(9) 5-A'!F18+'(10) 5-B'!F18+'(11) 5-C'!F18+'(12) 5-D'!F18+'(13) 5-E'!F18</f>
        <v>0</v>
      </c>
      <c r="G18" s="394">
        <f>'(9) 5-A'!G18+'(10) 5-B'!G18+'(11) 5-C'!G18+'(12) 5-D'!G18+'(13) 5-E'!G18</f>
        <v>0</v>
      </c>
      <c r="H18" s="394">
        <f>'(9) 5-A'!H18+'(10) 5-B'!H18+'(11) 5-C'!H18+'(12) 5-D'!H18+'(13) 5-E'!H18</f>
        <v>0</v>
      </c>
      <c r="I18" s="394">
        <f t="shared" si="1"/>
        <v>0</v>
      </c>
      <c r="J18" s="394"/>
      <c r="K18" s="394"/>
      <c r="L18" s="947"/>
      <c r="M18" s="950"/>
      <c r="N18" s="950"/>
      <c r="P18" s="799"/>
    </row>
    <row r="19" spans="1:16" ht="15">
      <c r="A19" s="718" t="s">
        <v>466</v>
      </c>
      <c r="B19" s="394">
        <v>0</v>
      </c>
      <c r="C19" s="394">
        <f>'(9) 5-A'!C19+'(10) 5-B'!C19+'(11) 5-C'!C19+'(12) 5-D'!C19+'(13) 5-E'!C19</f>
        <v>0</v>
      </c>
      <c r="D19" s="394">
        <f>'(9) 5-A'!D19+'(10) 5-B'!D19+'(11) 5-C'!D19+'(12) 5-D'!D19+'(13) 5-E'!D19</f>
        <v>0</v>
      </c>
      <c r="E19" s="394">
        <f t="shared" si="0"/>
        <v>0</v>
      </c>
      <c r="F19" s="394">
        <f>'(9) 5-A'!F19+'(10) 5-B'!F19+'(11) 5-C'!F19+'(12) 5-D'!F19+'(13) 5-E'!F19</f>
        <v>0</v>
      </c>
      <c r="G19" s="394">
        <f>'(9) 5-A'!G19+'(10) 5-B'!G19+'(11) 5-C'!G19+'(12) 5-D'!G19+'(13) 5-E'!G19</f>
        <v>0</v>
      </c>
      <c r="H19" s="394">
        <f>'(9) 5-A'!H19+'(10) 5-B'!H19+'(11) 5-C'!H19+'(12) 5-D'!H19+'(13) 5-E'!H19</f>
        <v>0</v>
      </c>
      <c r="I19" s="394">
        <f t="shared" si="1"/>
        <v>0</v>
      </c>
      <c r="J19" s="394">
        <f t="shared" si="2"/>
        <v>0</v>
      </c>
      <c r="K19" s="394">
        <v>0</v>
      </c>
      <c r="L19" s="947"/>
      <c r="M19" s="950"/>
      <c r="N19" s="950"/>
      <c r="P19" s="799"/>
    </row>
    <row r="20" spans="1:16" ht="15">
      <c r="A20" s="718"/>
      <c r="B20" s="394"/>
      <c r="C20" s="394">
        <f>'(9) 5-A'!C20+'(10) 5-B'!C20+'(11) 5-C'!C20+'(12) 5-D'!C20+'(13) 5-E'!C20</f>
        <v>0</v>
      </c>
      <c r="D20" s="394">
        <f>'(9) 5-A'!D20+'(10) 5-B'!D20+'(11) 5-C'!D20+'(12) 5-D'!D20+'(13) 5-E'!D20</f>
        <v>0</v>
      </c>
      <c r="E20" s="394">
        <f t="shared" si="0"/>
        <v>0</v>
      </c>
      <c r="F20" s="394">
        <f>'(9) 5-A'!F20+'(10) 5-B'!F20+'(11) 5-C'!F20+'(12) 5-D'!F20+'(13) 5-E'!F20</f>
        <v>0</v>
      </c>
      <c r="G20" s="394">
        <f>'(9) 5-A'!G20+'(10) 5-B'!G20+'(11) 5-C'!G20+'(12) 5-D'!G20+'(13) 5-E'!G20</f>
        <v>0</v>
      </c>
      <c r="H20" s="394">
        <f>'(9) 5-A'!H20+'(10) 5-B'!H20+'(11) 5-C'!H20+'(12) 5-D'!H20+'(13) 5-E'!H20</f>
        <v>0</v>
      </c>
      <c r="I20" s="394">
        <f t="shared" si="1"/>
        <v>0</v>
      </c>
      <c r="J20" s="394"/>
      <c r="K20" s="394"/>
      <c r="L20" s="947"/>
      <c r="M20" s="950"/>
      <c r="N20" s="950"/>
      <c r="P20" s="799"/>
    </row>
    <row r="21" spans="1:16" ht="15">
      <c r="A21" s="718" t="s">
        <v>467</v>
      </c>
      <c r="B21" s="394">
        <v>0</v>
      </c>
      <c r="C21" s="394">
        <f>'(9) 5-A'!C21+'(10) 5-B'!C21+'(11) 5-C'!C21+'(12) 5-D'!C21+'(13) 5-E'!C21</f>
        <v>0</v>
      </c>
      <c r="D21" s="394">
        <f>'(9) 5-A'!D21+'(10) 5-B'!D21+'(11) 5-C'!D21+'(12) 5-D'!D21+'(13) 5-E'!D21</f>
        <v>0</v>
      </c>
      <c r="E21" s="394">
        <f t="shared" si="0"/>
        <v>0</v>
      </c>
      <c r="F21" s="394">
        <f>'(9) 5-A'!F21+'(10) 5-B'!F21+'(11) 5-C'!F21+'(12) 5-D'!F21+'(13) 5-E'!F21</f>
        <v>0</v>
      </c>
      <c r="G21" s="394">
        <f>'(9) 5-A'!G21+'(10) 5-B'!G21+'(11) 5-C'!G21+'(12) 5-D'!G21+'(13) 5-E'!G21</f>
        <v>0</v>
      </c>
      <c r="H21" s="394">
        <f>'(9) 5-A'!H21+'(10) 5-B'!H21+'(11) 5-C'!H21+'(12) 5-D'!H21+'(13) 5-E'!H21</f>
        <v>0</v>
      </c>
      <c r="I21" s="394">
        <f t="shared" si="1"/>
        <v>0</v>
      </c>
      <c r="J21" s="394">
        <f t="shared" si="2"/>
        <v>0</v>
      </c>
      <c r="K21" s="394">
        <v>0</v>
      </c>
      <c r="L21" s="947"/>
      <c r="M21" s="950"/>
      <c r="N21" s="950"/>
      <c r="P21" s="799"/>
    </row>
    <row r="22" spans="1:16" ht="15">
      <c r="A22" s="718"/>
      <c r="B22" s="394"/>
      <c r="C22" s="394">
        <f>'(9) 5-A'!C22+'(10) 5-B'!C22+'(11) 5-C'!C22+'(12) 5-D'!C22+'(13) 5-E'!C22</f>
        <v>0</v>
      </c>
      <c r="D22" s="394">
        <f>'(9) 5-A'!D22+'(10) 5-B'!D22+'(11) 5-C'!D22+'(12) 5-D'!D22+'(13) 5-E'!D22</f>
        <v>0</v>
      </c>
      <c r="E22" s="394">
        <f t="shared" si="0"/>
        <v>0</v>
      </c>
      <c r="F22" s="394">
        <f>'(9) 5-A'!F22+'(10) 5-B'!F22+'(11) 5-C'!F22+'(12) 5-D'!F22+'(13) 5-E'!F22</f>
        <v>0</v>
      </c>
      <c r="G22" s="394">
        <f>'(9) 5-A'!G22+'(10) 5-B'!G22+'(11) 5-C'!G22+'(12) 5-D'!G22+'(13) 5-E'!G22</f>
        <v>0</v>
      </c>
      <c r="H22" s="394">
        <f>'(9) 5-A'!H22+'(10) 5-B'!H22+'(11) 5-C'!H22+'(12) 5-D'!H22+'(13) 5-E'!H22</f>
        <v>0</v>
      </c>
      <c r="I22" s="394">
        <f t="shared" si="1"/>
        <v>0</v>
      </c>
      <c r="J22" s="394"/>
      <c r="K22" s="394"/>
      <c r="L22" s="947"/>
      <c r="M22" s="950"/>
      <c r="N22" s="950"/>
      <c r="P22" s="799"/>
    </row>
    <row r="23" spans="1:16" ht="15">
      <c r="A23" s="718" t="s">
        <v>468</v>
      </c>
      <c r="B23" s="394">
        <v>188345</v>
      </c>
      <c r="C23" s="394">
        <f>'(9) 5-A'!C23+'(10) 5-B'!C23+'(11) 5-C'!C23+'(12) 5-D'!C23+'(13) 5-E'!C23</f>
        <v>6865948</v>
      </c>
      <c r="D23" s="394">
        <f>'(9) 5-A'!D23+'(10) 5-B'!D23+'(11) 5-C'!D23+'(12) 5-D'!D23+'(13) 5-E'!D23</f>
        <v>1933416</v>
      </c>
      <c r="E23" s="394">
        <f t="shared" si="0"/>
        <v>5120877</v>
      </c>
      <c r="F23" s="394">
        <f>'(9) 5-A'!F23+'(10) 5-B'!F23+'(11) 5-C'!F23+'(12) 5-D'!F23+'(13) 5-E'!F23</f>
        <v>18835</v>
      </c>
      <c r="G23" s="394">
        <f>'(9) 5-A'!G23+'(10) 5-B'!G23+'(11) 5-C'!G23+'(12) 5-D'!G23+'(13) 5-E'!G23</f>
        <v>472395</v>
      </c>
      <c r="H23" s="394">
        <f>'(9) 5-A'!H23+'(10) 5-B'!H23+'(11) 5-C'!H23+'(12) 5-D'!H23+'(13) 5-E'!H23</f>
        <v>0</v>
      </c>
      <c r="I23" s="394">
        <f t="shared" si="1"/>
        <v>491230</v>
      </c>
      <c r="J23" s="394">
        <f t="shared" si="2"/>
        <v>4629647</v>
      </c>
      <c r="K23" s="394">
        <v>169510</v>
      </c>
      <c r="L23" s="947"/>
      <c r="M23" s="950"/>
      <c r="N23" s="950"/>
      <c r="P23" s="799"/>
    </row>
    <row r="24" spans="1:16" ht="15">
      <c r="A24" s="718"/>
      <c r="B24" s="394"/>
      <c r="C24" s="394">
        <f>'(9) 5-A'!C24+'(10) 5-B'!C24+'(11) 5-C'!C24+'(12) 5-D'!C24+'(13) 5-E'!C24</f>
        <v>0</v>
      </c>
      <c r="D24" s="394">
        <f>'(9) 5-A'!D24+'(10) 5-B'!D24+'(11) 5-C'!D24+'(12) 5-D'!D24+'(13) 5-E'!D24</f>
        <v>0</v>
      </c>
      <c r="E24" s="394">
        <f t="shared" si="0"/>
        <v>0</v>
      </c>
      <c r="F24" s="394">
        <f>'(9) 5-A'!F24+'(10) 5-B'!F24+'(11) 5-C'!F24+'(12) 5-D'!F24+'(13) 5-E'!F24</f>
        <v>0</v>
      </c>
      <c r="G24" s="394">
        <f>'(9) 5-A'!G24+'(10) 5-B'!G24+'(11) 5-C'!G24+'(12) 5-D'!G24+'(13) 5-E'!G24</f>
        <v>0</v>
      </c>
      <c r="H24" s="394">
        <f>'(9) 5-A'!H24+'(10) 5-B'!H24+'(11) 5-C'!H24+'(12) 5-D'!H24+'(13) 5-E'!H24</f>
        <v>0</v>
      </c>
      <c r="I24" s="394">
        <f t="shared" si="1"/>
        <v>0</v>
      </c>
      <c r="J24" s="394"/>
      <c r="K24" s="394"/>
      <c r="L24" s="947"/>
      <c r="M24" s="950"/>
      <c r="N24" s="950"/>
      <c r="P24" s="799"/>
    </row>
    <row r="25" spans="1:16" ht="15">
      <c r="A25" s="718" t="s">
        <v>469</v>
      </c>
      <c r="B25" s="394">
        <v>675549639</v>
      </c>
      <c r="C25" s="394">
        <f>'(9) 5-A'!C25+'(10) 5-B'!C25+'(11) 5-C'!C25+'(12) 5-D'!C25+'(13) 5-E'!C25</f>
        <v>5952748</v>
      </c>
      <c r="D25" s="394">
        <f>'(9) 5-A'!D25+'(10) 5-B'!D25+'(11) 5-C'!D25+'(12) 5-D'!D25+'(13) 5-E'!D25</f>
        <v>0</v>
      </c>
      <c r="E25" s="394">
        <f t="shared" si="0"/>
        <v>681502387</v>
      </c>
      <c r="F25" s="394">
        <f>'(9) 5-A'!F25+'(10) 5-B'!F25+'(11) 5-C'!F25+'(12) 5-D'!F25+'(13) 5-E'!F25</f>
        <v>343866353</v>
      </c>
      <c r="G25" s="394">
        <f>'(9) 5-A'!G25+'(10) 5-B'!G25+'(11) 5-C'!G25+'(12) 5-D'!G25+'(13) 5-E'!G25</f>
        <v>40782895</v>
      </c>
      <c r="H25" s="394">
        <f>'(9) 5-A'!H25+'(10) 5-B'!H25+'(11) 5-C'!H25+'(12) 5-D'!H25+'(13) 5-E'!H25</f>
        <v>0</v>
      </c>
      <c r="I25" s="394">
        <f t="shared" si="1"/>
        <v>384649248</v>
      </c>
      <c r="J25" s="394">
        <f t="shared" si="2"/>
        <v>296853139</v>
      </c>
      <c r="K25" s="394">
        <v>331683286</v>
      </c>
      <c r="L25" s="947"/>
      <c r="M25" s="950"/>
      <c r="N25" s="950"/>
      <c r="P25" s="799"/>
    </row>
    <row r="26" spans="1:16" ht="15">
      <c r="A26" s="718"/>
      <c r="B26" s="394"/>
      <c r="C26" s="394">
        <f>'(9) 5-A'!C26+'(10) 5-B'!C26+'(11) 5-C'!C26+'(12) 5-D'!C26+'(13) 5-E'!C26</f>
        <v>0</v>
      </c>
      <c r="D26" s="394">
        <f>'(9) 5-A'!D26+'(10) 5-B'!D26+'(11) 5-C'!D26+'(12) 5-D'!D26+'(13) 5-E'!D26</f>
        <v>0</v>
      </c>
      <c r="E26" s="394">
        <f t="shared" si="0"/>
        <v>0</v>
      </c>
      <c r="F26" s="394">
        <f>'(9) 5-A'!F26+'(10) 5-B'!F26+'(11) 5-C'!F26+'(12) 5-D'!F26+'(13) 5-E'!F26</f>
        <v>0</v>
      </c>
      <c r="G26" s="394">
        <f>'(9) 5-A'!G26+'(10) 5-B'!G26+'(11) 5-C'!G26+'(12) 5-D'!G26+'(13) 5-E'!G26</f>
        <v>0</v>
      </c>
      <c r="H26" s="394">
        <f>'(9) 5-A'!H26+'(10) 5-B'!H26+'(11) 5-C'!H26+'(12) 5-D'!H26+'(13) 5-E'!H26</f>
        <v>0</v>
      </c>
      <c r="I26" s="394">
        <f t="shared" si="1"/>
        <v>0</v>
      </c>
      <c r="J26" s="394"/>
      <c r="K26" s="394"/>
      <c r="L26" s="947"/>
      <c r="M26" s="950"/>
      <c r="N26" s="950"/>
      <c r="P26" s="799"/>
    </row>
    <row r="27" spans="1:16" ht="15">
      <c r="A27" s="718" t="s">
        <v>470</v>
      </c>
      <c r="B27" s="394">
        <v>0</v>
      </c>
      <c r="C27" s="394">
        <f>'(9) 5-A'!C27+'(10) 5-B'!C27+'(11) 5-C'!C27+'(12) 5-D'!C27+'(13) 5-E'!C27</f>
        <v>7027503</v>
      </c>
      <c r="D27" s="394">
        <f>'(9) 5-A'!D27+'(10) 5-B'!D27+'(11) 5-C'!D27+'(12) 5-D'!D27+'(13) 5-E'!D27</f>
        <v>0</v>
      </c>
      <c r="E27" s="394">
        <f t="shared" si="0"/>
        <v>7027503</v>
      </c>
      <c r="F27" s="394">
        <f>'(9) 5-A'!F27+'(10) 5-B'!F27+'(11) 5-C'!F27+'(12) 5-D'!F27+'(13) 5-E'!F27</f>
        <v>0</v>
      </c>
      <c r="G27" s="394">
        <f>'(9) 5-A'!G27+'(10) 5-B'!G27+'(11) 5-C'!G27+'(12) 5-D'!G27+'(13) 5-E'!G27</f>
        <v>702750</v>
      </c>
      <c r="H27" s="394">
        <f>'(9) 5-A'!H27+'(10) 5-B'!H27+'(11) 5-C'!H27+'(12) 5-D'!H27+'(13) 5-E'!H27</f>
        <v>0</v>
      </c>
      <c r="I27" s="394">
        <f t="shared" si="1"/>
        <v>702750</v>
      </c>
      <c r="J27" s="394">
        <f t="shared" si="2"/>
        <v>6324753</v>
      </c>
      <c r="K27" s="394">
        <v>0</v>
      </c>
      <c r="L27" s="947"/>
      <c r="M27" s="950"/>
      <c r="N27" s="950"/>
      <c r="P27" s="799"/>
    </row>
    <row r="28" spans="1:16" ht="15">
      <c r="A28" s="718"/>
      <c r="B28" s="394"/>
      <c r="C28" s="394">
        <f>'(9) 5-A'!C28+'(10) 5-B'!C28+'(11) 5-C'!C28+'(12) 5-D'!C28+'(13) 5-E'!C28</f>
        <v>0</v>
      </c>
      <c r="D28" s="394">
        <f>'(9) 5-A'!D28+'(10) 5-B'!D28+'(11) 5-C'!D28+'(12) 5-D'!D28+'(13) 5-E'!D28</f>
        <v>0</v>
      </c>
      <c r="E28" s="394">
        <f t="shared" si="0"/>
        <v>0</v>
      </c>
      <c r="F28" s="394">
        <f>'(9) 5-A'!F28+'(10) 5-B'!F28+'(11) 5-C'!F28+'(12) 5-D'!F28+'(13) 5-E'!F28</f>
        <v>0</v>
      </c>
      <c r="G28" s="394">
        <f>'(9) 5-A'!G28+'(10) 5-B'!G28+'(11) 5-C'!G28+'(12) 5-D'!G28+'(13) 5-E'!G28</f>
        <v>0</v>
      </c>
      <c r="H28" s="394">
        <f>'(9) 5-A'!H28+'(10) 5-B'!H28+'(11) 5-C'!H28+'(12) 5-D'!H28+'(13) 5-E'!H28</f>
        <v>0</v>
      </c>
      <c r="I28" s="394">
        <f t="shared" si="1"/>
        <v>0</v>
      </c>
      <c r="J28" s="394"/>
      <c r="K28" s="394"/>
      <c r="L28" s="947"/>
      <c r="M28" s="950"/>
      <c r="N28" s="950"/>
      <c r="P28" s="799"/>
    </row>
    <row r="29" spans="1:16" ht="15">
      <c r="A29" s="718" t="s">
        <v>471</v>
      </c>
      <c r="B29" s="394">
        <v>11436650</v>
      </c>
      <c r="C29" s="394">
        <f>'(9) 5-A'!C29+'(10) 5-B'!C29+'(11) 5-C'!C29+'(12) 5-D'!C29+'(13) 5-E'!C29</f>
        <v>1010152</v>
      </c>
      <c r="D29" s="394">
        <f>'(9) 5-A'!D29+'(10) 5-B'!D29+'(11) 5-C'!D29+'(12) 5-D'!D29+'(13) 5-E'!D29</f>
        <v>0</v>
      </c>
      <c r="E29" s="394">
        <f t="shared" si="0"/>
        <v>12446802</v>
      </c>
      <c r="F29" s="394">
        <f>'(9) 5-A'!F29+'(10) 5-B'!F29+'(11) 5-C'!F29+'(12) 5-D'!F29+'(13) 5-E'!F29</f>
        <v>3886692</v>
      </c>
      <c r="G29" s="394">
        <f>'(9) 5-A'!G29+'(10) 5-B'!G29+'(11) 5-C'!G29+'(12) 5-D'!G29+'(13) 5-E'!G29</f>
        <v>1245507</v>
      </c>
      <c r="H29" s="394">
        <f>'(9) 5-A'!H29+'(10) 5-B'!H29+'(11) 5-C'!H29+'(12) 5-D'!H29+'(13) 5-E'!H29</f>
        <v>0</v>
      </c>
      <c r="I29" s="394">
        <f t="shared" si="1"/>
        <v>5132199</v>
      </c>
      <c r="J29" s="394">
        <f t="shared" si="2"/>
        <v>7314603</v>
      </c>
      <c r="K29" s="394">
        <v>7549958</v>
      </c>
      <c r="L29" s="947"/>
      <c r="M29" s="950"/>
      <c r="N29" s="950"/>
      <c r="P29" s="799"/>
    </row>
    <row r="30" spans="1:16" ht="15">
      <c r="A30" s="718"/>
      <c r="B30" s="394"/>
      <c r="C30" s="394">
        <f>'(9) 5-A'!C30+'(10) 5-B'!C30+'(11) 5-C'!C30+'(12) 5-D'!C30+'(13) 5-E'!C30</f>
        <v>0</v>
      </c>
      <c r="D30" s="394">
        <f>'(9) 5-A'!D30+'(10) 5-B'!D30+'(11) 5-C'!D30+'(12) 5-D'!D30+'(13) 5-E'!D30</f>
        <v>0</v>
      </c>
      <c r="E30" s="394">
        <f t="shared" si="0"/>
        <v>0</v>
      </c>
      <c r="F30" s="394">
        <f>'(9) 5-A'!F30+'(10) 5-B'!F30+'(11) 5-C'!F30+'(12) 5-D'!F30+'(13) 5-E'!F30</f>
        <v>0</v>
      </c>
      <c r="G30" s="394">
        <f>'(9) 5-A'!G30+'(10) 5-B'!G30+'(11) 5-C'!G30+'(12) 5-D'!G30+'(13) 5-E'!G30</f>
        <v>0</v>
      </c>
      <c r="H30" s="394">
        <f>'(9) 5-A'!H30+'(10) 5-B'!H30+'(11) 5-C'!H30+'(12) 5-D'!H30+'(13) 5-E'!H30</f>
        <v>0</v>
      </c>
      <c r="I30" s="394">
        <f t="shared" si="1"/>
        <v>0</v>
      </c>
      <c r="J30" s="394"/>
      <c r="K30" s="394"/>
      <c r="L30" s="947"/>
      <c r="M30" s="950"/>
      <c r="N30" s="950"/>
      <c r="P30" s="799"/>
    </row>
    <row r="31" spans="1:16" ht="15">
      <c r="A31" s="718" t="s">
        <v>472</v>
      </c>
      <c r="B31" s="394">
        <v>27859467</v>
      </c>
      <c r="C31" s="394">
        <f>'(9) 5-A'!C31+'(10) 5-B'!C31+'(11) 5-C'!C31+'(12) 5-D'!C31+'(13) 5-E'!C31</f>
        <v>0</v>
      </c>
      <c r="D31" s="394">
        <f>'(9) 5-A'!D31+'(10) 5-B'!D31+'(11) 5-C'!D31+'(12) 5-D'!D31+'(13) 5-E'!D31</f>
        <v>0</v>
      </c>
      <c r="E31" s="394">
        <f t="shared" si="0"/>
        <v>27859467</v>
      </c>
      <c r="F31" s="394">
        <f>'(9) 5-A'!F31+'(10) 5-B'!F31+'(11) 5-C'!F31+'(12) 5-D'!F31+'(13) 5-E'!F31</f>
        <v>27372474</v>
      </c>
      <c r="G31" s="394">
        <f>'(9) 5-A'!G31+'(10) 5-B'!G31+'(11) 5-C'!G31+'(12) 5-D'!G31+'(13) 5-E'!G31</f>
        <v>269837</v>
      </c>
      <c r="H31" s="394">
        <f>'(9) 5-A'!H31+'(10) 5-B'!H31+'(11) 5-C'!H31+'(12) 5-D'!H31+'(13) 5-E'!H31</f>
        <v>0</v>
      </c>
      <c r="I31" s="394">
        <f t="shared" si="1"/>
        <v>27642311</v>
      </c>
      <c r="J31" s="394">
        <f t="shared" si="2"/>
        <v>217156</v>
      </c>
      <c r="K31" s="394">
        <v>486993</v>
      </c>
      <c r="L31" s="947"/>
      <c r="M31" s="950"/>
      <c r="N31" s="950"/>
      <c r="P31" s="799"/>
    </row>
    <row r="32" spans="1:16" ht="15">
      <c r="A32" s="718"/>
      <c r="B32" s="394"/>
      <c r="C32" s="394">
        <f>'(9) 5-A'!C32+'(10) 5-B'!C32+'(11) 5-C'!C32+'(12) 5-D'!C32+'(13) 5-E'!C32</f>
        <v>0</v>
      </c>
      <c r="D32" s="394">
        <f>'(9) 5-A'!D32+'(10) 5-B'!D32+'(11) 5-C'!D32+'(12) 5-D'!D32+'(13) 5-E'!D32</f>
        <v>0</v>
      </c>
      <c r="E32" s="394">
        <f t="shared" si="0"/>
        <v>0</v>
      </c>
      <c r="F32" s="394">
        <f>'(9) 5-A'!F32+'(10) 5-B'!F32+'(11) 5-C'!F32+'(12) 5-D'!F32+'(13) 5-E'!F32</f>
        <v>0</v>
      </c>
      <c r="G32" s="394">
        <f>'(9) 5-A'!G32+'(10) 5-B'!G32+'(11) 5-C'!G32+'(12) 5-D'!G32+'(13) 5-E'!G32</f>
        <v>0</v>
      </c>
      <c r="H32" s="394">
        <f>'(9) 5-A'!H32+'(10) 5-B'!H32+'(11) 5-C'!H32+'(12) 5-D'!H32+'(13) 5-E'!H32</f>
        <v>0</v>
      </c>
      <c r="I32" s="394">
        <f t="shared" si="1"/>
        <v>0</v>
      </c>
      <c r="J32" s="394"/>
      <c r="K32" s="394"/>
      <c r="L32" s="947"/>
      <c r="M32" s="950"/>
      <c r="N32" s="950"/>
      <c r="P32" s="799"/>
    </row>
    <row r="33" spans="1:16" ht="15">
      <c r="A33" s="718" t="s">
        <v>473</v>
      </c>
      <c r="B33" s="394">
        <v>0</v>
      </c>
      <c r="C33" s="394">
        <f>'(9) 5-A'!C33+'(10) 5-B'!C33+'(11) 5-C'!C33+'(12) 5-D'!C33+'(13) 5-E'!C33</f>
        <v>0</v>
      </c>
      <c r="D33" s="394">
        <f>'(9) 5-A'!D33+'(10) 5-B'!D33+'(11) 5-C'!D33+'(12) 5-D'!D33+'(13) 5-E'!D33</f>
        <v>0</v>
      </c>
      <c r="E33" s="394">
        <f t="shared" si="0"/>
        <v>0</v>
      </c>
      <c r="F33" s="394">
        <f>'(9) 5-A'!F33+'(10) 5-B'!F33+'(11) 5-C'!F33+'(12) 5-D'!F33+'(13) 5-E'!F33</f>
        <v>0</v>
      </c>
      <c r="G33" s="394">
        <f>'(9) 5-A'!G33+'(10) 5-B'!G33+'(11) 5-C'!G33+'(12) 5-D'!G33+'(13) 5-E'!G33</f>
        <v>0</v>
      </c>
      <c r="H33" s="394">
        <f>'(9) 5-A'!H33+'(10) 5-B'!H33+'(11) 5-C'!H33+'(12) 5-D'!H33+'(13) 5-E'!H33</f>
        <v>0</v>
      </c>
      <c r="I33" s="394">
        <f t="shared" si="1"/>
        <v>0</v>
      </c>
      <c r="J33" s="394">
        <f t="shared" si="2"/>
        <v>0</v>
      </c>
      <c r="K33" s="394">
        <v>0</v>
      </c>
      <c r="L33" s="947"/>
      <c r="M33" s="950"/>
      <c r="N33" s="950"/>
      <c r="P33" s="799"/>
    </row>
    <row r="34" spans="1:16" ht="15">
      <c r="A34" s="718"/>
      <c r="B34" s="394"/>
      <c r="C34" s="394">
        <f>'(9) 5-A'!C34+'(10) 5-B'!C34+'(11) 5-C'!C34+'(12) 5-D'!C34+'(13) 5-E'!C34</f>
        <v>0</v>
      </c>
      <c r="D34" s="394">
        <f>'(9) 5-A'!D34+'(10) 5-B'!D34+'(11) 5-C'!D34+'(12) 5-D'!D34+'(13) 5-E'!D34</f>
        <v>0</v>
      </c>
      <c r="E34" s="394">
        <f t="shared" si="0"/>
        <v>0</v>
      </c>
      <c r="F34" s="394">
        <f>'(9) 5-A'!F34+'(10) 5-B'!F34+'(11) 5-C'!F34+'(12) 5-D'!F34+'(13) 5-E'!F34</f>
        <v>0</v>
      </c>
      <c r="G34" s="394">
        <f>'(9) 5-A'!G34+'(10) 5-B'!G34+'(11) 5-C'!G34+'(12) 5-D'!G34+'(13) 5-E'!G34</f>
        <v>0</v>
      </c>
      <c r="H34" s="394">
        <f>'(9) 5-A'!H34+'(10) 5-B'!H34+'(11) 5-C'!H34+'(12) 5-D'!H34+'(13) 5-E'!H34</f>
        <v>0</v>
      </c>
      <c r="I34" s="394">
        <f t="shared" si="1"/>
        <v>0</v>
      </c>
      <c r="J34" s="394"/>
      <c r="K34" s="394"/>
      <c r="L34" s="947"/>
      <c r="M34" s="950"/>
      <c r="N34" s="950"/>
      <c r="P34" s="799"/>
    </row>
    <row r="35" spans="1:16" ht="15">
      <c r="A35" s="718" t="s">
        <v>474</v>
      </c>
      <c r="B35" s="394">
        <v>31624270</v>
      </c>
      <c r="C35" s="394">
        <f>'(9) 5-A'!C35+'(10) 5-B'!C35+'(11) 5-C'!C35+'(12) 5-D'!C35+'(13) 5-E'!C35</f>
        <v>1173430</v>
      </c>
      <c r="D35" s="394">
        <f>'(9) 5-A'!D35+'(10) 5-B'!D35+'(11) 5-C'!D35+'(12) 5-D'!D35+'(13) 5-E'!D35</f>
        <v>0</v>
      </c>
      <c r="E35" s="394">
        <f t="shared" si="0"/>
        <v>32797700</v>
      </c>
      <c r="F35" s="394">
        <f>'(9) 5-A'!F35+'(10) 5-B'!F35+'(11) 5-C'!F35+'(12) 5-D'!F35+'(13) 5-E'!F35</f>
        <v>28306618</v>
      </c>
      <c r="G35" s="394">
        <f>'(9) 5-A'!G35+'(10) 5-B'!G35+'(11) 5-C'!G35+'(12) 5-D'!G35+'(13) 5-E'!G35</f>
        <v>688801</v>
      </c>
      <c r="H35" s="394">
        <f>'(9) 5-A'!H35+'(10) 5-B'!H35+'(11) 5-C'!H35+'(12) 5-D'!H35+'(13) 5-E'!H35</f>
        <v>0</v>
      </c>
      <c r="I35" s="394">
        <f t="shared" si="1"/>
        <v>28995419</v>
      </c>
      <c r="J35" s="394">
        <f t="shared" si="2"/>
        <v>3802281</v>
      </c>
      <c r="K35" s="394">
        <v>3317652</v>
      </c>
      <c r="L35" s="947"/>
      <c r="M35" s="950"/>
      <c r="N35" s="950"/>
      <c r="P35" s="799"/>
    </row>
    <row r="36" spans="1:16" ht="15">
      <c r="A36" s="718"/>
      <c r="B36" s="394"/>
      <c r="C36" s="394">
        <f>'(9) 5-A'!C36+'(10) 5-B'!C36+'(11) 5-C'!C36+'(12) 5-D'!C36+'(13) 5-E'!C36</f>
        <v>0</v>
      </c>
      <c r="D36" s="394">
        <f>'(9) 5-A'!D36+'(10) 5-B'!D36+'(11) 5-C'!D36+'(12) 5-D'!D36+'(13) 5-E'!D36</f>
        <v>0</v>
      </c>
      <c r="E36" s="394">
        <f t="shared" si="0"/>
        <v>0</v>
      </c>
      <c r="F36" s="394">
        <f>'(9) 5-A'!F36+'(10) 5-B'!F36+'(11) 5-C'!F36+'(12) 5-D'!F36+'(13) 5-E'!F36</f>
        <v>0</v>
      </c>
      <c r="G36" s="394">
        <f>'(9) 5-A'!G36+'(10) 5-B'!G36+'(11) 5-C'!G36+'(12) 5-D'!G36+'(13) 5-E'!G36</f>
        <v>0</v>
      </c>
      <c r="H36" s="394">
        <f>'(9) 5-A'!H36+'(10) 5-B'!H36+'(11) 5-C'!H36+'(12) 5-D'!H36+'(13) 5-E'!H36</f>
        <v>0</v>
      </c>
      <c r="I36" s="394">
        <f t="shared" si="1"/>
        <v>0</v>
      </c>
      <c r="J36" s="394"/>
      <c r="K36" s="394"/>
      <c r="L36" s="947"/>
      <c r="M36" s="950"/>
      <c r="N36" s="950"/>
      <c r="P36" s="799"/>
    </row>
    <row r="37" spans="1:16" ht="15">
      <c r="A37" s="718" t="s">
        <v>475</v>
      </c>
      <c r="B37" s="394">
        <v>38672507</v>
      </c>
      <c r="C37" s="394">
        <f>'(9) 5-A'!C37+'(10) 5-B'!C37+'(11) 5-C'!C37+'(12) 5-D'!C37+'(13) 5-E'!C37</f>
        <v>495875</v>
      </c>
      <c r="D37" s="394">
        <f>'(9) 5-A'!D37+'(10) 5-B'!D37+'(11) 5-C'!D37+'(12) 5-D'!D37+'(13) 5-E'!D37</f>
        <v>0</v>
      </c>
      <c r="E37" s="394">
        <f t="shared" si="0"/>
        <v>39168382</v>
      </c>
      <c r="F37" s="394">
        <f>'(9) 5-A'!F37+'(10) 5-B'!F37+'(11) 5-C'!F37+'(12) 5-D'!F37+'(13) 5-E'!F37</f>
        <v>36376270</v>
      </c>
      <c r="G37" s="394">
        <f>'(9) 5-A'!G37+'(10) 5-B'!G37+'(11) 5-C'!G37+'(12) 5-D'!G37+'(13) 5-E'!G37</f>
        <v>49588</v>
      </c>
      <c r="H37" s="394">
        <f>'(9) 5-A'!H37+'(10) 5-B'!H37+'(11) 5-C'!H37+'(12) 5-D'!H37+'(13) 5-E'!H37</f>
        <v>0</v>
      </c>
      <c r="I37" s="394">
        <f t="shared" si="1"/>
        <v>36425858</v>
      </c>
      <c r="J37" s="394">
        <f t="shared" si="2"/>
        <v>2742524</v>
      </c>
      <c r="K37" s="394">
        <v>2296237</v>
      </c>
      <c r="L37" s="947"/>
      <c r="M37" s="950"/>
      <c r="N37" s="950"/>
      <c r="P37" s="799"/>
    </row>
    <row r="38" spans="1:16" ht="15">
      <c r="A38" s="718"/>
      <c r="B38" s="394"/>
      <c r="C38" s="394">
        <f>'(9) 5-A'!C38+'(10) 5-B'!C38+'(11) 5-C'!C38+'(12) 5-D'!C38+'(13) 5-E'!C38</f>
        <v>0</v>
      </c>
      <c r="D38" s="394">
        <f>'(9) 5-A'!D38+'(10) 5-B'!D38+'(11) 5-C'!D38+'(12) 5-D'!D38+'(13) 5-E'!D38</f>
        <v>0</v>
      </c>
      <c r="E38" s="394">
        <f t="shared" si="0"/>
        <v>0</v>
      </c>
      <c r="F38" s="394">
        <f>'(9) 5-A'!F38+'(10) 5-B'!F38+'(11) 5-C'!F38+'(12) 5-D'!F38+'(13) 5-E'!F38</f>
        <v>0</v>
      </c>
      <c r="G38" s="394">
        <f>'(9) 5-A'!G38+'(10) 5-B'!G38+'(11) 5-C'!G38+'(12) 5-D'!G38+'(13) 5-E'!G38</f>
        <v>0</v>
      </c>
      <c r="H38" s="394">
        <f>'(9) 5-A'!H38+'(10) 5-B'!H38+'(11) 5-C'!H38+'(12) 5-D'!H38+'(13) 5-E'!H38</f>
        <v>0</v>
      </c>
      <c r="I38" s="394">
        <f t="shared" si="1"/>
        <v>0</v>
      </c>
      <c r="J38" s="394"/>
      <c r="K38" s="394"/>
      <c r="L38" s="947"/>
      <c r="M38" s="950"/>
      <c r="N38" s="950"/>
      <c r="P38" s="799"/>
    </row>
    <row r="39" spans="1:16" ht="15">
      <c r="A39" s="718" t="s">
        <v>476</v>
      </c>
      <c r="B39" s="394">
        <v>325060</v>
      </c>
      <c r="C39" s="394">
        <f>'(9) 5-A'!C39+'(10) 5-B'!C39+'(11) 5-C'!C39+'(12) 5-D'!C39+'(13) 5-E'!C39</f>
        <v>0</v>
      </c>
      <c r="D39" s="394">
        <f>'(9) 5-A'!D39+'(10) 5-B'!D39+'(11) 5-C'!D39+'(12) 5-D'!D39+'(13) 5-E'!D39</f>
        <v>0</v>
      </c>
      <c r="E39" s="394">
        <f t="shared" si="0"/>
        <v>325060</v>
      </c>
      <c r="F39" s="394">
        <f>'(9) 5-A'!F39+'(10) 5-B'!F39+'(11) 5-C'!F39+'(12) 5-D'!F39+'(13) 5-E'!F39</f>
        <v>313911</v>
      </c>
      <c r="G39" s="394">
        <f>'(9) 5-A'!G39+'(10) 5-B'!G39+'(11) 5-C'!G39+'(12) 5-D'!G39+'(13) 5-E'!G39</f>
        <v>5952.57</v>
      </c>
      <c r="H39" s="394">
        <f>'(9) 5-A'!H39+'(10) 5-B'!H39+'(11) 5-C'!H39+'(12) 5-D'!H39+'(13) 5-E'!H39</f>
        <v>0</v>
      </c>
      <c r="I39" s="394">
        <f t="shared" si="1"/>
        <v>319863.57</v>
      </c>
      <c r="J39" s="394">
        <f t="shared" si="2"/>
        <v>5196.429999999993</v>
      </c>
      <c r="K39" s="394">
        <v>11149</v>
      </c>
      <c r="L39" s="947"/>
      <c r="M39" s="950"/>
      <c r="N39" s="950"/>
      <c r="P39" s="799"/>
    </row>
    <row r="40" spans="1:16" ht="15">
      <c r="A40" s="718"/>
      <c r="B40" s="394"/>
      <c r="C40" s="394">
        <f>'(9) 5-A'!C40+'(10) 5-B'!C40+'(11) 5-C'!C40+'(12) 5-D'!C40+'(13) 5-E'!C40</f>
        <v>0</v>
      </c>
      <c r="D40" s="394">
        <f>'(9) 5-A'!D40+'(10) 5-B'!D40+'(11) 5-C'!D40+'(12) 5-D'!D40+'(13) 5-E'!D40</f>
        <v>0</v>
      </c>
      <c r="E40" s="394">
        <f t="shared" si="0"/>
        <v>0</v>
      </c>
      <c r="F40" s="394">
        <f>'(9) 5-A'!F40+'(10) 5-B'!F40+'(11) 5-C'!F40+'(12) 5-D'!F40+'(13) 5-E'!F40</f>
        <v>0</v>
      </c>
      <c r="G40" s="394">
        <f>'(9) 5-A'!G40+'(10) 5-B'!G40+'(11) 5-C'!G40+'(12) 5-D'!G40+'(13) 5-E'!G40</f>
        <v>0</v>
      </c>
      <c r="H40" s="394">
        <f>'(9) 5-A'!H40+'(10) 5-B'!H40+'(11) 5-C'!H40+'(12) 5-D'!H40+'(13) 5-E'!H40</f>
        <v>0</v>
      </c>
      <c r="I40" s="394">
        <f t="shared" si="1"/>
        <v>0</v>
      </c>
      <c r="J40" s="394"/>
      <c r="K40" s="394"/>
      <c r="L40" s="947"/>
      <c r="M40" s="950"/>
      <c r="N40" s="950"/>
      <c r="P40" s="799"/>
    </row>
    <row r="41" spans="1:16" ht="15">
      <c r="A41" s="718" t="s">
        <v>477</v>
      </c>
      <c r="B41" s="394">
        <v>0</v>
      </c>
      <c r="C41" s="394">
        <f>'(9) 5-A'!C41+'(10) 5-B'!C41+'(11) 5-C'!C41+'(12) 5-D'!C41+'(13) 5-E'!C41</f>
        <v>0</v>
      </c>
      <c r="D41" s="394">
        <f>'(9) 5-A'!D41+'(10) 5-B'!D41+'(11) 5-C'!D41+'(12) 5-D'!D41+'(13) 5-E'!D41</f>
        <v>0</v>
      </c>
      <c r="E41" s="394">
        <f t="shared" si="0"/>
        <v>0</v>
      </c>
      <c r="F41" s="394">
        <f>'(9) 5-A'!F41+'(10) 5-B'!F41+'(11) 5-C'!F41+'(12) 5-D'!F41+'(13) 5-E'!F41</f>
        <v>0</v>
      </c>
      <c r="G41" s="394">
        <f>'(9) 5-A'!G41+'(10) 5-B'!G41+'(11) 5-C'!G41+'(12) 5-D'!G41+'(13) 5-E'!G41</f>
        <v>0</v>
      </c>
      <c r="H41" s="394">
        <f>'(9) 5-A'!H41+'(10) 5-B'!H41+'(11) 5-C'!H41+'(12) 5-D'!H41+'(13) 5-E'!H41</f>
        <v>0</v>
      </c>
      <c r="I41" s="394">
        <f t="shared" si="1"/>
        <v>0</v>
      </c>
      <c r="J41" s="394">
        <f t="shared" si="2"/>
        <v>0</v>
      </c>
      <c r="K41" s="394">
        <v>0</v>
      </c>
      <c r="L41" s="947"/>
      <c r="M41" s="950"/>
      <c r="N41" s="950"/>
      <c r="P41" s="799"/>
    </row>
    <row r="42" spans="1:16" ht="15">
      <c r="A42" s="718"/>
      <c r="B42" s="394"/>
      <c r="C42" s="394">
        <f>'(9) 5-A'!C42+'(10) 5-B'!C42+'(11) 5-C'!C42+'(12) 5-D'!C42+'(13) 5-E'!C42</f>
        <v>0</v>
      </c>
      <c r="D42" s="394">
        <f>'(9) 5-A'!D42+'(10) 5-B'!D42+'(11) 5-C'!D42+'(12) 5-D'!D42+'(13) 5-E'!D42</f>
        <v>0</v>
      </c>
      <c r="E42" s="394">
        <f t="shared" si="0"/>
        <v>0</v>
      </c>
      <c r="F42" s="394">
        <f>'(9) 5-A'!F42+'(10) 5-B'!F42+'(11) 5-C'!F42+'(12) 5-D'!F42+'(13) 5-E'!F42</f>
        <v>0</v>
      </c>
      <c r="G42" s="394">
        <f>'(9) 5-A'!G42+'(10) 5-B'!G42+'(11) 5-C'!G42+'(12) 5-D'!G42+'(13) 5-E'!G42</f>
        <v>0</v>
      </c>
      <c r="H42" s="394">
        <f>'(9) 5-A'!H42+'(10) 5-B'!H42+'(11) 5-C'!H42+'(12) 5-D'!H42+'(13) 5-E'!H42</f>
        <v>0</v>
      </c>
      <c r="I42" s="394">
        <f t="shared" si="1"/>
        <v>0</v>
      </c>
      <c r="J42" s="394"/>
      <c r="K42" s="394"/>
      <c r="L42" s="947"/>
      <c r="M42" s="950"/>
      <c r="N42" s="950"/>
      <c r="P42" s="799"/>
    </row>
    <row r="43" spans="1:16" ht="15">
      <c r="A43" s="718" t="s">
        <v>478</v>
      </c>
      <c r="B43" s="394">
        <v>65402395</v>
      </c>
      <c r="C43" s="394">
        <f>'(9) 5-A'!C43+'(10) 5-B'!C43+'(11) 5-C'!C43+'(12) 5-D'!C43+'(13) 5-E'!C43</f>
        <v>1040216</v>
      </c>
      <c r="D43" s="394">
        <f>'(9) 5-A'!D43+'(10) 5-B'!D43+'(11) 5-C'!D43+'(12) 5-D'!D43+'(13) 5-E'!D43</f>
        <v>0</v>
      </c>
      <c r="E43" s="394">
        <f t="shared" si="0"/>
        <v>66442611</v>
      </c>
      <c r="F43" s="394">
        <f>'(9) 5-A'!F43+'(10) 5-B'!F43+'(11) 5-C'!F43+'(12) 5-D'!F43+'(13) 5-E'!F43</f>
        <v>60759160</v>
      </c>
      <c r="G43" s="394">
        <f>'(9) 5-A'!G43+'(10) 5-B'!G43+'(11) 5-C'!G43+'(12) 5-D'!G43+'(13) 5-E'!G43</f>
        <v>1505765</v>
      </c>
      <c r="H43" s="394">
        <f>'(9) 5-A'!H43+'(10) 5-B'!H43+'(11) 5-C'!H43+'(12) 5-D'!H43+'(13) 5-E'!H43</f>
        <v>0</v>
      </c>
      <c r="I43" s="394">
        <f>'(9) 5-A'!I43+'(10) 5-B'!I43+'(11) 5-C'!I43+'(12) 5-D'!I43+'(13) 5-E'!I43</f>
        <v>62264925</v>
      </c>
      <c r="J43" s="394">
        <f t="shared" si="2"/>
        <v>4177686</v>
      </c>
      <c r="K43" s="394">
        <v>4643235</v>
      </c>
      <c r="L43" s="947"/>
      <c r="M43" s="950"/>
      <c r="N43" s="950"/>
      <c r="P43" s="799"/>
    </row>
    <row r="44" spans="1:16" ht="15">
      <c r="A44" s="718"/>
      <c r="B44" s="394"/>
      <c r="C44" s="394"/>
      <c r="D44" s="394"/>
      <c r="E44" s="394"/>
      <c r="F44" s="394"/>
      <c r="G44" s="394"/>
      <c r="H44" s="394"/>
      <c r="I44" s="394"/>
      <c r="J44" s="394"/>
      <c r="K44" s="394"/>
      <c r="L44" s="947"/>
      <c r="M44" s="950"/>
      <c r="N44" s="950"/>
      <c r="P44" s="799"/>
    </row>
    <row r="45" spans="1:16" ht="15">
      <c r="A45" s="718"/>
      <c r="B45" s="394"/>
      <c r="C45" s="394"/>
      <c r="D45" s="394"/>
      <c r="E45" s="394"/>
      <c r="F45" s="394"/>
      <c r="G45" s="394"/>
      <c r="H45" s="394"/>
      <c r="I45" s="394"/>
      <c r="J45" s="394"/>
      <c r="K45" s="394"/>
      <c r="L45" s="947"/>
      <c r="M45" s="950"/>
      <c r="N45" s="950"/>
      <c r="P45" s="799"/>
    </row>
    <row r="46" spans="1:16" s="380" customFormat="1" ht="15.75">
      <c r="A46" s="520" t="s">
        <v>479</v>
      </c>
      <c r="B46" s="597">
        <f t="shared" ref="B46:J46" si="3">SUM(B10:B45)</f>
        <v>1119989774</v>
      </c>
      <c r="C46" s="597">
        <f t="shared" si="3"/>
        <v>33955157</v>
      </c>
      <c r="D46" s="597">
        <f t="shared" si="3"/>
        <v>1933416</v>
      </c>
      <c r="E46" s="597">
        <f t="shared" si="3"/>
        <v>1152011515</v>
      </c>
      <c r="F46" s="597">
        <f t="shared" si="3"/>
        <v>553016098</v>
      </c>
      <c r="G46" s="597">
        <f t="shared" si="3"/>
        <v>51291126.57</v>
      </c>
      <c r="H46" s="597">
        <f t="shared" si="3"/>
        <v>0</v>
      </c>
      <c r="I46" s="597">
        <f t="shared" si="3"/>
        <v>604307224.57000005</v>
      </c>
      <c r="J46" s="597">
        <f t="shared" si="3"/>
        <v>547704290.42999995</v>
      </c>
      <c r="K46" s="597">
        <f>K10+K11+K13+K15+K17+K19+K21+K23+K25+K27+K29+K31+K33+K35+K37+K39+K41+K43</f>
        <v>566973676</v>
      </c>
      <c r="L46" s="951"/>
      <c r="M46" s="950"/>
      <c r="N46" s="950"/>
      <c r="P46" s="405"/>
    </row>
    <row r="47" spans="1:16" ht="15">
      <c r="A47" s="718" t="s">
        <v>480</v>
      </c>
      <c r="B47" s="394">
        <v>0</v>
      </c>
      <c r="C47" s="394">
        <v>0</v>
      </c>
      <c r="D47" s="394">
        <v>0</v>
      </c>
      <c r="E47" s="394">
        <v>0</v>
      </c>
      <c r="F47" s="394"/>
      <c r="G47" s="394"/>
      <c r="H47" s="394"/>
      <c r="I47" s="342"/>
      <c r="J47" s="780">
        <f>+E47-I47</f>
        <v>0</v>
      </c>
      <c r="K47" s="394">
        <f>+F47-J47</f>
        <v>0</v>
      </c>
      <c r="L47" s="947"/>
      <c r="M47" s="950"/>
      <c r="N47" s="950"/>
    </row>
    <row r="48" spans="1:16" s="159" customFormat="1" ht="15.75">
      <c r="A48" s="520" t="s">
        <v>12</v>
      </c>
      <c r="B48" s="529">
        <f t="shared" ref="B48:H48" si="4">+B46+B47</f>
        <v>1119989774</v>
      </c>
      <c r="C48" s="529">
        <f t="shared" si="4"/>
        <v>33955157</v>
      </c>
      <c r="D48" s="529">
        <f t="shared" si="4"/>
        <v>1933416</v>
      </c>
      <c r="E48" s="529">
        <f t="shared" si="4"/>
        <v>1152011515</v>
      </c>
      <c r="F48" s="529">
        <f t="shared" si="4"/>
        <v>553016098</v>
      </c>
      <c r="G48" s="529">
        <f t="shared" si="4"/>
        <v>51291126.57</v>
      </c>
      <c r="H48" s="529">
        <f t="shared" si="4"/>
        <v>0</v>
      </c>
      <c r="I48" s="529">
        <f>+F48+G48-H48</f>
        <v>604307224.57000005</v>
      </c>
      <c r="J48" s="529">
        <f>E48-I48</f>
        <v>547704290.42999995</v>
      </c>
      <c r="K48" s="529">
        <f>K46-K47</f>
        <v>566973676</v>
      </c>
      <c r="L48" s="952"/>
      <c r="M48" s="953"/>
      <c r="N48" s="953"/>
    </row>
    <row r="49" spans="1:16" s="380" customFormat="1" ht="15.75">
      <c r="A49" s="517"/>
      <c r="B49" s="800"/>
      <c r="C49" s="800"/>
      <c r="D49" s="800"/>
      <c r="E49" s="800"/>
      <c r="F49" s="800"/>
      <c r="G49" s="800"/>
      <c r="H49" s="800"/>
      <c r="I49" s="800"/>
      <c r="J49" s="800"/>
      <c r="K49" s="800"/>
      <c r="L49" s="405"/>
      <c r="M49" s="954"/>
      <c r="N49" s="954"/>
    </row>
    <row r="50" spans="1:16" s="380" customFormat="1" ht="15.75">
      <c r="A50" s="517"/>
      <c r="B50" s="943"/>
      <c r="C50" s="409"/>
      <c r="D50" s="409"/>
      <c r="E50" s="409"/>
      <c r="F50" s="409"/>
      <c r="G50" s="409"/>
      <c r="H50" s="409"/>
      <c r="I50" s="409"/>
      <c r="J50" s="409"/>
      <c r="K50" s="409"/>
      <c r="L50" s="405"/>
      <c r="M50" s="954"/>
      <c r="N50" s="954"/>
    </row>
    <row r="51" spans="1:16" ht="15.75" customHeight="1">
      <c r="A51" s="1374" t="s">
        <v>20</v>
      </c>
      <c r="B51" s="1374"/>
      <c r="C51" s="1374"/>
      <c r="D51" s="1374"/>
      <c r="E51" s="1374"/>
      <c r="F51" s="1374"/>
      <c r="G51" s="1374"/>
      <c r="H51" s="1374"/>
      <c r="I51" s="1374"/>
      <c r="J51" s="1374"/>
      <c r="K51" s="1374"/>
    </row>
    <row r="52" spans="1:16">
      <c r="B52" s="876"/>
      <c r="C52" s="876"/>
      <c r="D52" s="876"/>
      <c r="E52" s="944"/>
      <c r="F52" s="657"/>
      <c r="G52" s="592"/>
      <c r="H52" s="876"/>
      <c r="I52" s="944"/>
      <c r="J52" s="944"/>
      <c r="K52" s="876"/>
    </row>
    <row r="53" spans="1:16">
      <c r="B53" s="876"/>
      <c r="C53" s="876"/>
      <c r="D53" s="876"/>
      <c r="E53" s="876"/>
      <c r="F53" s="876"/>
      <c r="G53" s="876"/>
      <c r="H53" s="876"/>
      <c r="I53" s="876"/>
      <c r="J53" s="876"/>
      <c r="K53" s="876"/>
      <c r="L53" s="876">
        <f>+'(9) 5-A'!L48+'(10) 5-B'!L48+'(11) 5-C'!L48+'(12) 5-D'!L48+'(13) 5-E'!L48</f>
        <v>0</v>
      </c>
      <c r="M53" s="876">
        <f>+'(9) 5-A'!M48+'(10) 5-B'!M48+'(11) 5-C'!M48+'(12) 5-D'!M48+'(13) 5-E'!M48</f>
        <v>0</v>
      </c>
      <c r="N53" s="876">
        <f>+'(9) 5-A'!N48+'(10) 5-B'!N48+'(11) 5-C'!N48+'(12) 5-D'!N48+'(13) 5-E'!N48</f>
        <v>0</v>
      </c>
      <c r="O53" s="876">
        <f>+'(9) 5-A'!O48+'(10) 5-B'!O48+'(11) 5-C'!O48+'(12) 5-D'!O48+'(13) 5-E'!O48</f>
        <v>0</v>
      </c>
      <c r="P53" s="876">
        <f>+'(9) 5-A'!P48+'(10) 5-B'!P48+'(11) 5-C'!P48+'(12) 5-D'!P48+'(13) 5-E'!P48</f>
        <v>0</v>
      </c>
    </row>
    <row r="54" spans="1:16">
      <c r="B54" s="876"/>
      <c r="C54" s="876"/>
      <c r="G54" s="799"/>
    </row>
    <row r="55" spans="1:16">
      <c r="A55" s="945"/>
      <c r="B55" s="876"/>
      <c r="C55" s="876"/>
      <c r="D55" s="876"/>
      <c r="E55" s="876"/>
      <c r="F55" s="876"/>
      <c r="G55" s="876"/>
      <c r="H55" s="876"/>
      <c r="I55" s="876"/>
      <c r="J55" s="876"/>
      <c r="K55" s="876"/>
      <c r="L55" s="876">
        <f>+L48-L53</f>
        <v>0</v>
      </c>
      <c r="M55" s="876">
        <f>+M48-M53</f>
        <v>0</v>
      </c>
      <c r="N55" s="876">
        <f>+N48-N53</f>
        <v>0</v>
      </c>
      <c r="O55" s="876">
        <f>+O48-O53</f>
        <v>0</v>
      </c>
      <c r="P55" s="876">
        <f>+P48-P53</f>
        <v>0</v>
      </c>
    </row>
    <row r="56" spans="1:16">
      <c r="A56" s="945"/>
      <c r="B56" s="799"/>
      <c r="D56" s="799"/>
      <c r="E56" s="405"/>
      <c r="F56" s="799"/>
      <c r="G56" s="945"/>
      <c r="H56" s="945"/>
      <c r="I56" s="945"/>
      <c r="J56" s="945">
        <v>528738887</v>
      </c>
      <c r="K56" s="945"/>
    </row>
    <row r="57" spans="1:16">
      <c r="A57" s="945"/>
      <c r="B57" s="799"/>
      <c r="C57" s="799"/>
      <c r="G57" s="945"/>
      <c r="H57" s="945"/>
      <c r="I57" s="945"/>
      <c r="J57" s="945"/>
      <c r="K57" s="945"/>
    </row>
    <row r="58" spans="1:16">
      <c r="A58" s="945"/>
      <c r="B58" s="945"/>
      <c r="C58" s="945"/>
      <c r="D58" s="945"/>
      <c r="E58" s="945"/>
      <c r="F58" s="945"/>
      <c r="G58" s="945"/>
      <c r="H58" s="945"/>
      <c r="I58" s="945"/>
      <c r="J58" s="1076">
        <f>J48-J56</f>
        <v>18965403.429999948</v>
      </c>
      <c r="K58" s="945"/>
    </row>
    <row r="59" spans="1:16">
      <c r="A59" s="945"/>
      <c r="B59" s="945"/>
      <c r="C59" s="945"/>
      <c r="D59" s="945"/>
      <c r="E59" s="945"/>
      <c r="F59" s="945"/>
      <c r="G59" s="945"/>
      <c r="H59" s="945"/>
      <c r="I59" s="945"/>
      <c r="J59" s="945"/>
      <c r="K59" s="945"/>
    </row>
    <row r="60" spans="1:16">
      <c r="A60" s="945"/>
      <c r="B60" s="945"/>
      <c r="C60" s="945"/>
      <c r="D60" s="945"/>
      <c r="E60" s="945"/>
      <c r="F60" s="945"/>
      <c r="G60" s="945"/>
      <c r="H60" s="945"/>
      <c r="I60" s="945"/>
      <c r="J60" s="945"/>
      <c r="K60" s="945"/>
    </row>
    <row r="61" spans="1:16">
      <c r="A61" s="945"/>
      <c r="B61" s="945"/>
      <c r="C61" s="945"/>
      <c r="D61" s="945"/>
      <c r="E61" s="945"/>
      <c r="F61" s="945"/>
      <c r="G61" s="945"/>
      <c r="H61" s="945"/>
      <c r="I61" s="945"/>
      <c r="J61" s="945"/>
      <c r="K61" s="945"/>
    </row>
    <row r="62" spans="1:16">
      <c r="A62" s="945"/>
      <c r="B62" s="945"/>
      <c r="C62" s="945"/>
      <c r="D62" s="945"/>
      <c r="E62" s="945"/>
      <c r="F62" s="945"/>
      <c r="G62" s="945"/>
      <c r="H62" s="945"/>
      <c r="I62" s="945"/>
      <c r="J62" s="945"/>
      <c r="K62" s="945"/>
    </row>
    <row r="63" spans="1:16">
      <c r="A63" s="945"/>
      <c r="B63" s="945"/>
      <c r="C63" s="945"/>
      <c r="D63" s="945"/>
      <c r="E63" s="945"/>
      <c r="F63" s="945"/>
      <c r="G63" s="945"/>
      <c r="H63" s="945"/>
      <c r="I63" s="945"/>
      <c r="J63" s="945"/>
      <c r="K63" s="945"/>
    </row>
    <row r="64" spans="1:16">
      <c r="A64" s="945"/>
      <c r="B64" s="945"/>
      <c r="C64" s="945"/>
      <c r="D64" s="945"/>
      <c r="E64" s="945"/>
      <c r="F64" s="945"/>
      <c r="G64" s="945"/>
      <c r="H64" s="945"/>
      <c r="I64" s="945"/>
      <c r="J64" s="945"/>
      <c r="K64" s="945"/>
    </row>
    <row r="65" spans="1:11">
      <c r="A65" s="945"/>
      <c r="B65" s="945"/>
      <c r="C65" s="945"/>
      <c r="D65" s="945"/>
      <c r="E65" s="945"/>
      <c r="F65" s="945"/>
      <c r="G65" s="945"/>
      <c r="H65" s="945"/>
      <c r="I65" s="945"/>
      <c r="J65" s="945"/>
      <c r="K65" s="945"/>
    </row>
    <row r="66" spans="1:11">
      <c r="A66" s="945"/>
      <c r="B66" s="945"/>
      <c r="C66" s="945"/>
      <c r="D66" s="945"/>
      <c r="E66" s="945"/>
      <c r="F66" s="945"/>
      <c r="G66" s="945"/>
      <c r="H66" s="945"/>
      <c r="I66" s="945"/>
      <c r="J66" s="945"/>
      <c r="K66" s="945"/>
    </row>
    <row r="67" spans="1:11">
      <c r="A67" s="945"/>
      <c r="B67" s="945"/>
      <c r="C67" s="945"/>
      <c r="D67" s="945"/>
      <c r="E67" s="945"/>
      <c r="F67" s="945"/>
      <c r="G67" s="945"/>
      <c r="H67" s="945"/>
      <c r="I67" s="945"/>
      <c r="J67" s="945"/>
      <c r="K67" s="945"/>
    </row>
    <row r="68" spans="1:11">
      <c r="A68" s="945"/>
      <c r="B68" s="945"/>
      <c r="C68" s="945"/>
      <c r="D68" s="945"/>
      <c r="E68" s="945"/>
      <c r="F68" s="945"/>
      <c r="G68" s="945"/>
      <c r="H68" s="945"/>
      <c r="I68" s="945"/>
      <c r="J68" s="945"/>
      <c r="K68" s="945"/>
    </row>
    <row r="69" spans="1:11">
      <c r="A69" s="945"/>
      <c r="B69" s="945"/>
      <c r="C69" s="945"/>
      <c r="D69" s="945"/>
      <c r="E69" s="945"/>
      <c r="F69" s="945"/>
      <c r="G69" s="945"/>
      <c r="H69" s="945"/>
      <c r="I69" s="945"/>
      <c r="J69" s="945"/>
      <c r="K69" s="945"/>
    </row>
    <row r="70" spans="1:11">
      <c r="A70" s="945"/>
      <c r="B70" s="945"/>
      <c r="C70" s="945"/>
      <c r="D70" s="945"/>
      <c r="E70" s="945"/>
      <c r="F70" s="945"/>
      <c r="G70" s="945"/>
      <c r="H70" s="945"/>
      <c r="I70" s="945"/>
      <c r="J70" s="945"/>
      <c r="K70" s="945"/>
    </row>
    <row r="71" spans="1:11">
      <c r="A71" s="945"/>
      <c r="B71" s="945"/>
      <c r="C71" s="945"/>
      <c r="D71" s="945"/>
      <c r="E71" s="945"/>
      <c r="F71" s="945"/>
      <c r="G71" s="945"/>
      <c r="H71" s="945"/>
      <c r="I71" s="945"/>
      <c r="J71" s="945"/>
      <c r="K71" s="945"/>
    </row>
    <row r="72" spans="1:11">
      <c r="A72" s="945"/>
      <c r="B72" s="945"/>
      <c r="C72" s="945"/>
      <c r="D72" s="945"/>
      <c r="E72" s="945"/>
      <c r="F72" s="945"/>
      <c r="G72" s="945"/>
      <c r="H72" s="945"/>
      <c r="I72" s="945"/>
      <c r="J72" s="945"/>
      <c r="K72" s="945"/>
    </row>
    <row r="73" spans="1:11">
      <c r="A73" s="945"/>
      <c r="B73" s="945"/>
      <c r="C73" s="945"/>
      <c r="D73" s="945"/>
      <c r="E73" s="945"/>
      <c r="F73" s="945"/>
      <c r="G73" s="945"/>
      <c r="H73" s="945"/>
      <c r="I73" s="945"/>
      <c r="J73" s="945"/>
      <c r="K73" s="945"/>
    </row>
    <row r="74" spans="1:11">
      <c r="A74" s="945"/>
      <c r="B74" s="945"/>
      <c r="C74" s="945"/>
      <c r="D74" s="945"/>
      <c r="E74" s="945"/>
      <c r="F74" s="945"/>
      <c r="G74" s="945"/>
      <c r="H74" s="945"/>
      <c r="I74" s="945"/>
      <c r="J74" s="945"/>
      <c r="K74" s="945"/>
    </row>
    <row r="75" spans="1:11">
      <c r="A75" s="945"/>
      <c r="B75" s="945"/>
      <c r="C75" s="945"/>
      <c r="D75" s="945"/>
      <c r="E75" s="945"/>
      <c r="F75" s="945"/>
      <c r="G75" s="945"/>
      <c r="H75" s="945"/>
      <c r="I75" s="945"/>
      <c r="J75" s="945"/>
      <c r="K75" s="945"/>
    </row>
    <row r="76" spans="1:11">
      <c r="A76" s="945"/>
      <c r="B76" s="945"/>
      <c r="C76" s="945"/>
      <c r="D76" s="945"/>
      <c r="E76" s="945"/>
      <c r="F76" s="945"/>
      <c r="G76" s="945"/>
      <c r="H76" s="945"/>
      <c r="I76" s="945"/>
      <c r="J76" s="945"/>
      <c r="K76" s="945"/>
    </row>
    <row r="77" spans="1:11">
      <c r="A77" s="945"/>
      <c r="B77" s="945"/>
      <c r="C77" s="945"/>
      <c r="D77" s="945"/>
      <c r="E77" s="945"/>
      <c r="F77" s="945"/>
      <c r="G77" s="945"/>
      <c r="H77" s="945"/>
      <c r="I77" s="945"/>
      <c r="J77" s="945"/>
      <c r="K77" s="945"/>
    </row>
    <row r="78" spans="1:11">
      <c r="A78" s="945"/>
      <c r="B78" s="945"/>
      <c r="C78" s="945"/>
      <c r="D78" s="945"/>
      <c r="E78" s="945"/>
      <c r="F78" s="945"/>
      <c r="G78" s="945"/>
      <c r="H78" s="945"/>
      <c r="I78" s="945"/>
      <c r="J78" s="945"/>
      <c r="K78" s="945"/>
    </row>
    <row r="79" spans="1:11">
      <c r="A79" s="945"/>
      <c r="B79" s="945"/>
      <c r="C79" s="945"/>
      <c r="D79" s="945"/>
      <c r="E79" s="945"/>
      <c r="F79" s="945"/>
      <c r="G79" s="945"/>
      <c r="H79" s="945"/>
      <c r="I79" s="945"/>
      <c r="J79" s="945"/>
      <c r="K79" s="945"/>
    </row>
    <row r="80" spans="1:11">
      <c r="A80" s="945"/>
      <c r="B80" s="945"/>
      <c r="C80" s="945"/>
      <c r="D80" s="945"/>
      <c r="E80" s="945"/>
      <c r="F80" s="945"/>
      <c r="G80" s="945"/>
      <c r="H80" s="945"/>
      <c r="I80" s="945"/>
      <c r="J80" s="945"/>
      <c r="K80" s="945"/>
    </row>
    <row r="81" spans="1:11">
      <c r="A81" s="945"/>
      <c r="B81" s="945"/>
      <c r="C81" s="945"/>
      <c r="D81" s="945"/>
      <c r="E81" s="945"/>
      <c r="F81" s="945"/>
      <c r="G81" s="945"/>
      <c r="H81" s="945"/>
      <c r="I81" s="945"/>
      <c r="J81" s="945"/>
      <c r="K81" s="945"/>
    </row>
    <row r="82" spans="1:11">
      <c r="A82" s="945"/>
      <c r="B82" s="945"/>
      <c r="C82" s="945"/>
      <c r="D82" s="945"/>
      <c r="E82" s="945"/>
      <c r="F82" s="945"/>
      <c r="G82" s="945"/>
      <c r="H82" s="945"/>
      <c r="I82" s="945"/>
      <c r="J82" s="945"/>
      <c r="K82" s="945"/>
    </row>
    <row r="83" spans="1:11">
      <c r="A83" s="945"/>
      <c r="B83" s="945"/>
      <c r="C83" s="945"/>
      <c r="D83" s="945"/>
      <c r="E83" s="945"/>
      <c r="F83" s="945"/>
      <c r="G83" s="945"/>
      <c r="H83" s="945"/>
      <c r="I83" s="945"/>
      <c r="J83" s="945"/>
      <c r="K83" s="945"/>
    </row>
    <row r="84" spans="1:11">
      <c r="A84" s="945"/>
      <c r="B84" s="945"/>
      <c r="C84" s="945"/>
      <c r="D84" s="945"/>
      <c r="E84" s="945"/>
      <c r="F84" s="945"/>
      <c r="G84" s="945"/>
      <c r="H84" s="945"/>
      <c r="I84" s="945"/>
      <c r="J84" s="945"/>
      <c r="K84" s="945"/>
    </row>
    <row r="85" spans="1:11">
      <c r="A85" s="945"/>
      <c r="B85" s="945"/>
      <c r="C85" s="945"/>
      <c r="D85" s="945"/>
      <c r="E85" s="945"/>
      <c r="F85" s="945"/>
      <c r="G85" s="945"/>
      <c r="H85" s="945"/>
      <c r="I85" s="945"/>
      <c r="J85" s="945"/>
      <c r="K85" s="945"/>
    </row>
    <row r="86" spans="1:11">
      <c r="A86" s="945"/>
      <c r="B86" s="945"/>
      <c r="C86" s="945"/>
      <c r="D86" s="945"/>
      <c r="E86" s="945"/>
      <c r="F86" s="945"/>
      <c r="G86" s="945"/>
      <c r="H86" s="945"/>
      <c r="I86" s="945"/>
      <c r="J86" s="945"/>
      <c r="K86" s="945"/>
    </row>
    <row r="87" spans="1:11">
      <c r="A87" s="945"/>
      <c r="B87" s="945"/>
      <c r="C87" s="945"/>
      <c r="D87" s="945"/>
      <c r="E87" s="945"/>
      <c r="F87" s="945"/>
      <c r="G87" s="945"/>
      <c r="H87" s="945"/>
      <c r="I87" s="945"/>
      <c r="J87" s="945"/>
      <c r="K87" s="945"/>
    </row>
    <row r="88" spans="1:11">
      <c r="A88" s="945"/>
      <c r="B88" s="945"/>
      <c r="C88" s="945"/>
      <c r="D88" s="945"/>
      <c r="E88" s="945"/>
      <c r="F88" s="945"/>
      <c r="G88" s="945"/>
      <c r="H88" s="945"/>
      <c r="I88" s="945"/>
      <c r="J88" s="945"/>
      <c r="K88" s="945"/>
    </row>
    <row r="89" spans="1:11">
      <c r="A89" s="945"/>
      <c r="B89" s="945"/>
      <c r="C89" s="945"/>
      <c r="D89" s="945"/>
      <c r="E89" s="945"/>
      <c r="F89" s="945"/>
      <c r="G89" s="945"/>
      <c r="H89" s="945"/>
      <c r="I89" s="945"/>
      <c r="J89" s="945"/>
      <c r="K89" s="945"/>
    </row>
    <row r="90" spans="1:11">
      <c r="A90" s="945"/>
      <c r="B90" s="945"/>
      <c r="C90" s="945"/>
      <c r="D90" s="945"/>
      <c r="E90" s="945"/>
      <c r="F90" s="945"/>
      <c r="G90" s="945"/>
      <c r="H90" s="945"/>
      <c r="I90" s="945"/>
      <c r="J90" s="945"/>
      <c r="K90" s="945"/>
    </row>
    <row r="91" spans="1:11">
      <c r="A91" s="945"/>
      <c r="B91" s="945"/>
      <c r="C91" s="945"/>
      <c r="D91" s="945"/>
      <c r="E91" s="945"/>
      <c r="F91" s="945"/>
      <c r="G91" s="945"/>
      <c r="H91" s="945"/>
      <c r="I91" s="945"/>
      <c r="J91" s="945"/>
      <c r="K91" s="945"/>
    </row>
    <row r="92" spans="1:11">
      <c r="A92" s="945"/>
      <c r="B92" s="945"/>
      <c r="C92" s="945"/>
      <c r="D92" s="945"/>
      <c r="E92" s="945"/>
      <c r="F92" s="945"/>
      <c r="G92" s="945"/>
      <c r="H92" s="945"/>
      <c r="I92" s="945"/>
      <c r="J92" s="945"/>
      <c r="K92" s="945"/>
    </row>
    <row r="93" spans="1:11">
      <c r="A93" s="945"/>
      <c r="B93" s="945"/>
      <c r="C93" s="945"/>
      <c r="D93" s="945"/>
      <c r="E93" s="945"/>
      <c r="F93" s="945"/>
      <c r="G93" s="945"/>
      <c r="H93" s="945"/>
      <c r="I93" s="945"/>
      <c r="J93" s="945"/>
      <c r="K93" s="945"/>
    </row>
    <row r="94" spans="1:11">
      <c r="A94" s="945"/>
      <c r="B94" s="945"/>
      <c r="C94" s="945"/>
      <c r="D94" s="945"/>
      <c r="E94" s="945"/>
      <c r="F94" s="945"/>
      <c r="G94" s="945"/>
      <c r="H94" s="945"/>
      <c r="I94" s="945"/>
      <c r="J94" s="945"/>
      <c r="K94" s="945"/>
    </row>
    <row r="95" spans="1:11">
      <c r="A95" s="945"/>
      <c r="B95" s="945"/>
      <c r="C95" s="945"/>
      <c r="D95" s="945"/>
      <c r="E95" s="945"/>
      <c r="F95" s="945"/>
      <c r="G95" s="945"/>
      <c r="H95" s="945"/>
      <c r="I95" s="945"/>
      <c r="J95" s="945"/>
      <c r="K95" s="945"/>
    </row>
    <row r="96" spans="1:11">
      <c r="A96" s="945"/>
      <c r="B96" s="945"/>
      <c r="C96" s="945"/>
      <c r="D96" s="945"/>
      <c r="E96" s="945"/>
      <c r="F96" s="945"/>
      <c r="G96" s="945"/>
      <c r="H96" s="945"/>
      <c r="I96" s="945"/>
      <c r="J96" s="945"/>
      <c r="K96" s="945"/>
    </row>
    <row r="97" spans="1:11">
      <c r="A97" s="945"/>
      <c r="B97" s="945"/>
      <c r="C97" s="945"/>
      <c r="D97" s="945"/>
      <c r="E97" s="945"/>
      <c r="F97" s="945"/>
      <c r="G97" s="945"/>
      <c r="H97" s="945"/>
      <c r="I97" s="945"/>
      <c r="J97" s="945"/>
      <c r="K97" s="945"/>
    </row>
    <row r="98" spans="1:11">
      <c r="A98" s="1390"/>
      <c r="B98" s="1390"/>
      <c r="C98" s="1390"/>
      <c r="D98" s="1390"/>
      <c r="E98" s="1390"/>
      <c r="F98" s="1390"/>
      <c r="G98" s="1390"/>
      <c r="H98" s="1390"/>
      <c r="I98" s="1390"/>
      <c r="J98" s="1390"/>
      <c r="K98" s="1390"/>
    </row>
    <row r="99" spans="1:11">
      <c r="A99" s="873" t="s">
        <v>459</v>
      </c>
      <c r="J99" s="1390"/>
      <c r="K99" s="1390"/>
    </row>
    <row r="100" spans="1:11">
      <c r="A100" s="873" t="s">
        <v>460</v>
      </c>
      <c r="B100" s="955"/>
      <c r="C100" s="955"/>
      <c r="D100" s="955"/>
      <c r="E100" s="956"/>
      <c r="F100" s="955"/>
      <c r="G100" s="955"/>
      <c r="H100" s="955"/>
      <c r="I100" s="956"/>
      <c r="J100" s="956"/>
    </row>
    <row r="101" spans="1:11">
      <c r="A101" s="873" t="s">
        <v>461</v>
      </c>
      <c r="B101" s="876">
        <v>-184879405</v>
      </c>
      <c r="F101" s="955"/>
    </row>
    <row r="102" spans="1:11">
      <c r="A102" s="873" t="s">
        <v>462</v>
      </c>
      <c r="B102" s="799">
        <v>-18288454</v>
      </c>
      <c r="C102" s="799"/>
      <c r="D102" s="799"/>
      <c r="F102" s="955"/>
    </row>
    <row r="103" spans="1:11">
      <c r="A103" s="873"/>
      <c r="B103" s="799"/>
      <c r="C103" s="799"/>
      <c r="D103" s="799"/>
      <c r="F103" s="955"/>
      <c r="G103" s="799"/>
    </row>
    <row r="104" spans="1:11">
      <c r="A104" s="873" t="s">
        <v>463</v>
      </c>
      <c r="B104" s="799">
        <v>-909776634</v>
      </c>
      <c r="C104" s="799"/>
      <c r="D104" s="799"/>
      <c r="F104" s="955"/>
      <c r="I104" s="957"/>
    </row>
    <row r="105" spans="1:11">
      <c r="A105" s="873"/>
      <c r="B105" s="799"/>
      <c r="C105" s="799"/>
      <c r="D105" s="799"/>
      <c r="F105" s="955"/>
      <c r="I105" s="957"/>
    </row>
    <row r="106" spans="1:11">
      <c r="A106" s="873" t="s">
        <v>464</v>
      </c>
      <c r="B106" s="799">
        <v>-13077686</v>
      </c>
      <c r="C106" s="799"/>
      <c r="D106" s="799"/>
      <c r="F106" s="955"/>
      <c r="I106" s="957"/>
    </row>
    <row r="107" spans="1:11">
      <c r="A107" s="873"/>
      <c r="B107" s="799"/>
      <c r="C107" s="799"/>
      <c r="D107" s="799"/>
      <c r="F107" s="955"/>
    </row>
    <row r="108" spans="1:11">
      <c r="A108" s="873" t="s">
        <v>465</v>
      </c>
      <c r="B108" s="799">
        <v>-57346408</v>
      </c>
      <c r="C108" s="799"/>
      <c r="D108" s="799"/>
      <c r="F108" s="955"/>
      <c r="J108" s="957"/>
    </row>
    <row r="109" spans="1:11">
      <c r="A109" s="873"/>
      <c r="B109" s="799"/>
      <c r="C109" s="799"/>
      <c r="D109" s="799"/>
      <c r="F109" s="955"/>
    </row>
    <row r="110" spans="1:11">
      <c r="A110" s="873" t="s">
        <v>466</v>
      </c>
      <c r="B110" s="799">
        <v>-4628297</v>
      </c>
      <c r="C110" s="799"/>
      <c r="D110" s="799"/>
      <c r="F110" s="955"/>
    </row>
    <row r="111" spans="1:11">
      <c r="A111" s="873"/>
      <c r="B111" s="799"/>
      <c r="C111" s="799"/>
      <c r="D111" s="799"/>
      <c r="F111" s="955"/>
    </row>
    <row r="112" spans="1:11">
      <c r="A112" s="873" t="s">
        <v>467</v>
      </c>
      <c r="B112" s="799">
        <v>-24488351</v>
      </c>
      <c r="C112" s="799"/>
      <c r="D112" s="799"/>
      <c r="F112" s="955"/>
    </row>
    <row r="113" spans="1:6">
      <c r="A113" s="873"/>
      <c r="B113" s="799"/>
      <c r="C113" s="799"/>
      <c r="D113" s="799"/>
      <c r="F113" s="955"/>
    </row>
    <row r="114" spans="1:6">
      <c r="A114" s="873" t="s">
        <v>468</v>
      </c>
      <c r="B114" s="799">
        <v>-105068354</v>
      </c>
      <c r="C114" s="799"/>
      <c r="D114" s="799"/>
      <c r="F114" s="955"/>
    </row>
    <row r="115" spans="1:6">
      <c r="A115" s="873"/>
      <c r="B115" s="799"/>
      <c r="C115" s="799"/>
      <c r="D115" s="799"/>
      <c r="F115" s="955"/>
    </row>
    <row r="116" spans="1:6">
      <c r="A116" s="873" t="s">
        <v>469</v>
      </c>
      <c r="B116" s="799">
        <v>79128318.000000998</v>
      </c>
      <c r="C116" s="799"/>
      <c r="D116" s="799"/>
      <c r="F116" s="955"/>
    </row>
    <row r="117" spans="1:6">
      <c r="A117" s="873"/>
      <c r="B117" s="799"/>
      <c r="C117" s="799"/>
      <c r="D117" s="799"/>
      <c r="F117" s="955"/>
    </row>
    <row r="118" spans="1:6">
      <c r="A118" s="873" t="s">
        <v>470</v>
      </c>
      <c r="B118" s="799">
        <v>-575554119.01999998</v>
      </c>
      <c r="C118" s="799"/>
      <c r="D118" s="799"/>
      <c r="F118" s="955"/>
    </row>
    <row r="119" spans="1:6">
      <c r="A119" s="873"/>
      <c r="B119" s="799"/>
      <c r="C119" s="799"/>
      <c r="D119" s="799"/>
      <c r="F119" s="955"/>
    </row>
    <row r="120" spans="1:6">
      <c r="A120" s="873" t="s">
        <v>471</v>
      </c>
      <c r="B120" s="799">
        <v>-29245080</v>
      </c>
      <c r="C120" s="799"/>
      <c r="D120" s="799"/>
      <c r="F120" s="955"/>
    </row>
    <row r="121" spans="1:6">
      <c r="A121" s="873"/>
      <c r="B121" s="799"/>
      <c r="C121" s="799"/>
      <c r="D121" s="799"/>
      <c r="F121" s="955"/>
    </row>
    <row r="122" spans="1:6">
      <c r="A122" s="873" t="s">
        <v>472</v>
      </c>
      <c r="B122" s="799">
        <v>-8032135</v>
      </c>
      <c r="C122" s="799"/>
      <c r="D122" s="799"/>
      <c r="F122" s="955"/>
    </row>
    <row r="123" spans="1:6">
      <c r="A123" s="873"/>
      <c r="B123" s="799"/>
      <c r="C123" s="799"/>
      <c r="D123" s="799"/>
      <c r="F123" s="955"/>
    </row>
    <row r="124" spans="1:6">
      <c r="A124" s="873" t="s">
        <v>473</v>
      </c>
      <c r="B124" s="799">
        <v>-56262406</v>
      </c>
      <c r="C124" s="799"/>
      <c r="D124" s="799"/>
      <c r="F124" s="955"/>
    </row>
    <row r="125" spans="1:6">
      <c r="A125" s="873"/>
      <c r="F125" s="955"/>
    </row>
    <row r="126" spans="1:6">
      <c r="A126" s="873" t="s">
        <v>474</v>
      </c>
      <c r="B126" s="876">
        <v>-106469171</v>
      </c>
      <c r="F126" s="955"/>
    </row>
    <row r="127" spans="1:6">
      <c r="A127" s="873"/>
      <c r="F127" s="955"/>
    </row>
    <row r="128" spans="1:6">
      <c r="A128" s="873" t="s">
        <v>475</v>
      </c>
      <c r="B128" s="876">
        <v>-123628665.5</v>
      </c>
      <c r="F128" s="955"/>
    </row>
    <row r="129" spans="1:6">
      <c r="A129" s="873"/>
      <c r="F129" s="955"/>
    </row>
    <row r="130" spans="1:6">
      <c r="A130" s="873" t="s">
        <v>476</v>
      </c>
      <c r="B130" s="876">
        <v>-17923669</v>
      </c>
      <c r="F130" s="955"/>
    </row>
    <row r="131" spans="1:6">
      <c r="A131" s="873"/>
      <c r="F131" s="955"/>
    </row>
    <row r="132" spans="1:6">
      <c r="A132" s="873" t="s">
        <v>477</v>
      </c>
      <c r="B132" s="876">
        <v>-78039963</v>
      </c>
      <c r="F132" s="955"/>
    </row>
    <row r="133" spans="1:6">
      <c r="A133" s="873"/>
      <c r="F133" s="955"/>
    </row>
    <row r="134" spans="1:6">
      <c r="A134" s="873" t="s">
        <v>478</v>
      </c>
      <c r="B134" s="876">
        <v>-131595033.650001</v>
      </c>
      <c r="F134" s="955"/>
    </row>
    <row r="135" spans="1:6">
      <c r="A135" s="873"/>
      <c r="F135" s="955"/>
    </row>
    <row r="136" spans="1:6">
      <c r="A136" s="873" t="s">
        <v>481</v>
      </c>
      <c r="B136" s="876">
        <v>-494966553</v>
      </c>
      <c r="F136" s="955"/>
    </row>
    <row r="137" spans="1:6">
      <c r="A137" s="873" t="s">
        <v>479</v>
      </c>
      <c r="F137" s="955"/>
    </row>
    <row r="138" spans="1:6">
      <c r="A138" s="873" t="s">
        <v>480</v>
      </c>
      <c r="B138" s="876">
        <v>-1759338794</v>
      </c>
      <c r="F138" s="955"/>
    </row>
    <row r="139" spans="1:6">
      <c r="A139" s="875" t="s">
        <v>12</v>
      </c>
      <c r="B139" s="799">
        <f>SUM(B100:B138)</f>
        <v>-4619480860.1700001</v>
      </c>
      <c r="F139" s="955"/>
    </row>
    <row r="140" spans="1:6">
      <c r="F140" s="955"/>
    </row>
  </sheetData>
  <customSheetViews>
    <customSheetView guid="{B1076A3F-74CA-4685-9B64-0249438E4A9A}" scale="85" showPageBreaks="1" printArea="1" view="pageBreakPreview">
      <pane xSplit="1" ySplit="7" topLeftCell="B8" state="frozen"/>
      <selection activeCell="K51" sqref="K51"/>
      <pageMargins left="0" right="0" top="0" bottom="0" header="0.39370078740157499" footer="0.66929133858267698"/>
      <printOptions horizontalCentered="1" verticalCentered="1"/>
      <pageSetup paperSize="9" scale="65" orientation="landscape"/>
      <headerFooter alignWithMargins="0">
        <oddFooter>&amp;C6</oddFooter>
      </headerFooter>
    </customSheetView>
    <customSheetView guid="{789595AE-36A2-4B02-81C2-3D94932E7381}" scale="85" showPageBreaks="1" printArea="1" view="pageBreakPreview">
      <pane xSplit="1" ySplit="7" topLeftCell="B8" state="frozen"/>
      <selection activeCell="K51" sqref="K51"/>
      <pageMargins left="0" right="0" top="0" bottom="0" header="0.39370078740157499" footer="0.66929133858267698"/>
      <printOptions horizontalCentered="1" verticalCentered="1"/>
      <pageSetup paperSize="9" scale="65" orientation="landscape"/>
      <headerFooter alignWithMargins="0">
        <oddFooter>&amp;C6</oddFooter>
      </headerFooter>
    </customSheetView>
  </customSheetViews>
  <mergeCells count="24">
    <mergeCell ref="A1:K1"/>
    <mergeCell ref="A2:K2"/>
    <mergeCell ref="J3:K3"/>
    <mergeCell ref="B4:E4"/>
    <mergeCell ref="F4:I4"/>
    <mergeCell ref="J4:K4"/>
    <mergeCell ref="A98:K98"/>
    <mergeCell ref="J99:K99"/>
    <mergeCell ref="A5:A6"/>
    <mergeCell ref="B5:B6"/>
    <mergeCell ref="C5:C6"/>
    <mergeCell ref="D5:D6"/>
    <mergeCell ref="E5:E6"/>
    <mergeCell ref="F5:F6"/>
    <mergeCell ref="G5:G6"/>
    <mergeCell ref="H5:H6"/>
    <mergeCell ref="I5:I6"/>
    <mergeCell ref="J5:J6"/>
    <mergeCell ref="K5:K6"/>
    <mergeCell ref="L4:L6"/>
    <mergeCell ref="M4:M6"/>
    <mergeCell ref="N4:N6"/>
    <mergeCell ref="O4:O6"/>
    <mergeCell ref="A51:K51"/>
  </mergeCells>
  <printOptions horizontalCentered="1" verticalCentered="1"/>
  <pageMargins left="0" right="0" top="0" bottom="0" header="0.35433070866141703" footer="0.31496062992126"/>
  <pageSetup paperSize="9" scale="6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61"/>
  <sheetViews>
    <sheetView view="pageBreakPreview" zoomScale="85" zoomScaleNormal="106" workbookViewId="0">
      <pane xSplit="1" ySplit="7" topLeftCell="B41" activePane="bottomRight" state="frozen"/>
      <selection pane="topRight"/>
      <selection pane="bottomLeft"/>
      <selection pane="bottomRight" activeCell="I50" sqref="I50"/>
    </sheetView>
  </sheetViews>
  <sheetFormatPr defaultColWidth="23.28515625" defaultRowHeight="12.75"/>
  <cols>
    <col min="1" max="1" width="42.42578125" style="380" customWidth="1"/>
    <col min="2" max="2" width="13.28515625" style="402" customWidth="1"/>
    <col min="3" max="3" width="14.42578125" style="402" customWidth="1"/>
    <col min="4" max="4" width="14.28515625" style="402" customWidth="1"/>
    <col min="5" max="6" width="12.85546875" style="402" customWidth="1"/>
    <col min="7" max="7" width="12.7109375" style="402" customWidth="1"/>
    <col min="8" max="8" width="17.42578125" style="402" customWidth="1"/>
    <col min="9" max="9" width="16" style="402" customWidth="1"/>
    <col min="10" max="10" width="17" style="402" customWidth="1"/>
    <col min="11" max="11" width="13.5703125" style="402" customWidth="1"/>
    <col min="12" max="12" width="12.42578125" style="402" customWidth="1"/>
    <col min="13" max="13" width="14.42578125" style="402" customWidth="1"/>
    <col min="14" max="14" width="11.5703125" style="402" customWidth="1"/>
    <col min="15" max="16384" width="23.28515625" style="402"/>
  </cols>
  <sheetData>
    <row r="1" spans="1:16" ht="15">
      <c r="A1" s="1405" t="s">
        <v>1910</v>
      </c>
      <c r="B1" s="1405"/>
      <c r="C1" s="1405"/>
      <c r="D1" s="1405"/>
      <c r="E1" s="1405"/>
      <c r="F1" s="1405"/>
      <c r="G1" s="1405"/>
      <c r="H1" s="1405"/>
      <c r="I1" s="1405"/>
      <c r="J1" s="1405"/>
      <c r="K1" s="1405"/>
    </row>
    <row r="2" spans="1:16" ht="15">
      <c r="A2" s="1405" t="s">
        <v>43</v>
      </c>
      <c r="B2" s="1405"/>
      <c r="C2" s="1405"/>
      <c r="D2" s="1405"/>
      <c r="E2" s="1405"/>
      <c r="F2" s="1405"/>
      <c r="G2" s="1405"/>
      <c r="H2" s="1405"/>
      <c r="I2" s="1405"/>
      <c r="J2" s="1405"/>
      <c r="K2" s="1405"/>
    </row>
    <row r="3" spans="1:16" ht="11.25" customHeight="1">
      <c r="A3" s="383"/>
      <c r="B3" s="356"/>
      <c r="C3" s="356"/>
      <c r="D3" s="356"/>
      <c r="E3" s="356"/>
      <c r="F3" s="356"/>
      <c r="G3" s="356"/>
      <c r="H3" s="356"/>
      <c r="I3" s="1406" t="s">
        <v>68</v>
      </c>
      <c r="J3" s="1407"/>
      <c r="K3" s="939"/>
    </row>
    <row r="4" spans="1:16" s="379" customFormat="1" ht="19.5">
      <c r="A4" s="569" t="s">
        <v>482</v>
      </c>
      <c r="B4" s="1408" t="s">
        <v>483</v>
      </c>
      <c r="C4" s="1409"/>
      <c r="D4" s="1409"/>
      <c r="E4" s="1410"/>
      <c r="F4" s="1408" t="s">
        <v>39</v>
      </c>
      <c r="G4" s="1409"/>
      <c r="H4" s="1409"/>
      <c r="I4" s="1410"/>
      <c r="J4" s="928" t="s">
        <v>447</v>
      </c>
      <c r="K4" s="928"/>
      <c r="L4" s="1397"/>
    </row>
    <row r="5" spans="1:16" s="887" customFormat="1" ht="12.75" customHeight="1">
      <c r="A5" s="1399" t="s">
        <v>448</v>
      </c>
      <c r="B5" s="1401" t="s">
        <v>484</v>
      </c>
      <c r="C5" s="1401" t="s">
        <v>450</v>
      </c>
      <c r="D5" s="1401" t="s">
        <v>451</v>
      </c>
      <c r="E5" s="1401" t="s">
        <v>452</v>
      </c>
      <c r="F5" s="1401" t="s">
        <v>453</v>
      </c>
      <c r="G5" s="1401" t="s">
        <v>454</v>
      </c>
      <c r="H5" s="1402" t="s">
        <v>455</v>
      </c>
      <c r="I5" s="1404" t="s">
        <v>485</v>
      </c>
      <c r="J5" s="1401" t="s">
        <v>457</v>
      </c>
      <c r="K5" s="1401" t="s">
        <v>458</v>
      </c>
      <c r="L5" s="1398"/>
    </row>
    <row r="6" spans="1:16" s="887" customFormat="1" ht="102.75" customHeight="1">
      <c r="A6" s="1400"/>
      <c r="B6" s="1401"/>
      <c r="C6" s="1401"/>
      <c r="D6" s="1401"/>
      <c r="E6" s="1401"/>
      <c r="F6" s="1401"/>
      <c r="G6" s="1401"/>
      <c r="H6" s="1403"/>
      <c r="I6" s="1404"/>
      <c r="J6" s="1401"/>
      <c r="K6" s="1401"/>
      <c r="L6" s="1398"/>
    </row>
    <row r="7" spans="1:16" s="379" customFormat="1">
      <c r="A7" s="888"/>
      <c r="B7" s="889">
        <v>1</v>
      </c>
      <c r="C7" s="889">
        <v>2</v>
      </c>
      <c r="D7" s="889">
        <v>3</v>
      </c>
      <c r="E7" s="890">
        <v>4</v>
      </c>
      <c r="F7" s="890">
        <v>5</v>
      </c>
      <c r="G7" s="889">
        <v>6</v>
      </c>
      <c r="H7" s="889">
        <v>7</v>
      </c>
      <c r="I7" s="889">
        <v>8</v>
      </c>
      <c r="J7" s="889">
        <v>9</v>
      </c>
      <c r="K7" s="889">
        <v>10</v>
      </c>
      <c r="L7" s="895"/>
    </row>
    <row r="8" spans="1:16" ht="15">
      <c r="A8" s="393" t="s">
        <v>459</v>
      </c>
      <c r="B8" s="394"/>
      <c r="C8" s="394"/>
      <c r="D8" s="394"/>
      <c r="E8" s="394"/>
      <c r="F8" s="394"/>
      <c r="G8" s="394"/>
      <c r="H8" s="394"/>
      <c r="I8" s="394"/>
      <c r="J8" s="394"/>
      <c r="K8" s="394"/>
      <c r="L8" s="897"/>
    </row>
    <row r="9" spans="1:16" ht="15">
      <c r="A9" s="393" t="s">
        <v>460</v>
      </c>
      <c r="B9" s="394"/>
      <c r="C9" s="394"/>
      <c r="D9" s="394"/>
      <c r="E9" s="394"/>
      <c r="F9" s="394"/>
      <c r="G9" s="394"/>
      <c r="H9" s="394"/>
      <c r="I9" s="394"/>
      <c r="J9" s="394"/>
      <c r="K9" s="394"/>
      <c r="L9" s="898"/>
    </row>
    <row r="10" spans="1:16" ht="15">
      <c r="A10" s="393" t="s">
        <v>461</v>
      </c>
      <c r="B10" s="394">
        <v>938928</v>
      </c>
      <c r="C10" s="394">
        <v>0</v>
      </c>
      <c r="D10" s="394">
        <v>0</v>
      </c>
      <c r="E10" s="394">
        <f>B10+C10-D10</f>
        <v>938928</v>
      </c>
      <c r="F10" s="394">
        <v>0</v>
      </c>
      <c r="G10" s="394">
        <v>0</v>
      </c>
      <c r="H10" s="394">
        <v>0</v>
      </c>
      <c r="I10" s="394">
        <f>F10+G10-H10</f>
        <v>0</v>
      </c>
      <c r="J10" s="394">
        <f>E10-I10</f>
        <v>938928</v>
      </c>
      <c r="K10" s="394">
        <v>938928</v>
      </c>
      <c r="L10" s="898"/>
    </row>
    <row r="11" spans="1:16" ht="15">
      <c r="A11" s="393" t="s">
        <v>462</v>
      </c>
      <c r="B11" s="394">
        <v>0</v>
      </c>
      <c r="C11" s="394">
        <v>0</v>
      </c>
      <c r="D11" s="394">
        <v>0</v>
      </c>
      <c r="E11" s="394">
        <f t="shared" ref="E11:E43" si="0">B11+C11-D11</f>
        <v>0</v>
      </c>
      <c r="F11" s="394">
        <v>0</v>
      </c>
      <c r="G11" s="394">
        <v>0</v>
      </c>
      <c r="H11" s="394">
        <v>0</v>
      </c>
      <c r="I11" s="394">
        <f t="shared" ref="I11:I48" si="1">F11+G11-H11</f>
        <v>0</v>
      </c>
      <c r="J11" s="394">
        <f t="shared" ref="J11:J43" si="2">E11-I11</f>
        <v>0</v>
      </c>
      <c r="K11" s="394">
        <v>0</v>
      </c>
      <c r="L11" s="898"/>
    </row>
    <row r="12" spans="1:16" ht="15">
      <c r="A12" s="393"/>
      <c r="B12" s="394">
        <v>0</v>
      </c>
      <c r="C12" s="394"/>
      <c r="D12" s="394"/>
      <c r="E12" s="394">
        <f t="shared" si="0"/>
        <v>0</v>
      </c>
      <c r="F12" s="394"/>
      <c r="G12" s="394"/>
      <c r="H12" s="394"/>
      <c r="I12" s="394">
        <f t="shared" si="1"/>
        <v>0</v>
      </c>
      <c r="J12" s="394"/>
      <c r="K12" s="394"/>
      <c r="L12" s="898"/>
      <c r="N12" s="899"/>
    </row>
    <row r="13" spans="1:16" ht="15">
      <c r="A13" s="393" t="s">
        <v>463</v>
      </c>
      <c r="B13" s="394">
        <v>267992513</v>
      </c>
      <c r="C13" s="394">
        <v>10389285</v>
      </c>
      <c r="D13" s="394">
        <v>0</v>
      </c>
      <c r="E13" s="394">
        <f t="shared" si="0"/>
        <v>278381798</v>
      </c>
      <c r="F13" s="394">
        <v>52115785</v>
      </c>
      <c r="G13" s="394">
        <f>ROUND(E13*0.02,0)</f>
        <v>5567636</v>
      </c>
      <c r="H13" s="394">
        <v>0</v>
      </c>
      <c r="I13" s="394">
        <f t="shared" si="1"/>
        <v>57683421</v>
      </c>
      <c r="J13" s="394">
        <f t="shared" si="2"/>
        <v>220698377</v>
      </c>
      <c r="K13" s="394">
        <v>215876728</v>
      </c>
      <c r="L13" s="898">
        <v>0.02</v>
      </c>
      <c r="N13" s="899"/>
      <c r="O13" s="402">
        <v>5722857</v>
      </c>
      <c r="P13" s="799"/>
    </row>
    <row r="14" spans="1:16" ht="15">
      <c r="A14" s="393"/>
      <c r="B14" s="394"/>
      <c r="C14" s="394"/>
      <c r="D14" s="394"/>
      <c r="E14" s="394">
        <f t="shared" si="0"/>
        <v>0</v>
      </c>
      <c r="F14" s="394"/>
      <c r="G14" s="394"/>
      <c r="H14" s="394"/>
      <c r="I14" s="394">
        <f t="shared" si="1"/>
        <v>0</v>
      </c>
      <c r="J14" s="394"/>
      <c r="K14" s="394"/>
      <c r="L14" s="898"/>
      <c r="N14" s="899"/>
      <c r="O14" s="402">
        <v>-1923091</v>
      </c>
      <c r="P14" s="799"/>
    </row>
    <row r="15" spans="1:16" ht="15">
      <c r="A15" s="393" t="s">
        <v>464</v>
      </c>
      <c r="B15" s="394">
        <v>0</v>
      </c>
      <c r="C15" s="394">
        <v>0</v>
      </c>
      <c r="D15" s="394">
        <v>0</v>
      </c>
      <c r="E15" s="394">
        <f t="shared" si="0"/>
        <v>0</v>
      </c>
      <c r="F15" s="394">
        <v>0</v>
      </c>
      <c r="G15" s="394">
        <v>0</v>
      </c>
      <c r="H15" s="394">
        <v>0</v>
      </c>
      <c r="I15" s="394">
        <f t="shared" si="1"/>
        <v>0</v>
      </c>
      <c r="J15" s="394">
        <f t="shared" si="2"/>
        <v>0</v>
      </c>
      <c r="K15" s="394">
        <v>0</v>
      </c>
      <c r="L15" s="898">
        <v>0.02</v>
      </c>
      <c r="N15" s="899"/>
      <c r="O15" s="402">
        <f>SUM(O13:O14)</f>
        <v>3799766</v>
      </c>
      <c r="P15" s="799"/>
    </row>
    <row r="16" spans="1:16" ht="15">
      <c r="A16" s="393"/>
      <c r="B16" s="394"/>
      <c r="C16" s="394"/>
      <c r="D16" s="394"/>
      <c r="E16" s="394">
        <f t="shared" si="0"/>
        <v>0</v>
      </c>
      <c r="F16" s="394"/>
      <c r="G16" s="394"/>
      <c r="H16" s="394"/>
      <c r="I16" s="394">
        <f t="shared" si="1"/>
        <v>0</v>
      </c>
      <c r="J16" s="394"/>
      <c r="K16" s="394"/>
      <c r="L16" s="898"/>
      <c r="N16" s="899"/>
      <c r="P16" s="799"/>
    </row>
    <row r="17" spans="1:16" ht="15">
      <c r="A17" s="393" t="s">
        <v>465</v>
      </c>
      <c r="B17" s="394">
        <v>0</v>
      </c>
      <c r="C17" s="394">
        <v>0</v>
      </c>
      <c r="D17" s="394">
        <f>SUM(D9:D16)</f>
        <v>0</v>
      </c>
      <c r="E17" s="394">
        <f t="shared" si="0"/>
        <v>0</v>
      </c>
      <c r="F17" s="394">
        <v>0</v>
      </c>
      <c r="G17" s="394">
        <v>0</v>
      </c>
      <c r="H17" s="394">
        <v>0</v>
      </c>
      <c r="I17" s="394">
        <f t="shared" si="1"/>
        <v>0</v>
      </c>
      <c r="J17" s="394">
        <f t="shared" si="2"/>
        <v>0</v>
      </c>
      <c r="K17" s="394">
        <v>0</v>
      </c>
      <c r="L17" s="898">
        <v>0.05</v>
      </c>
      <c r="N17" s="899"/>
      <c r="P17" s="799"/>
    </row>
    <row r="18" spans="1:16" ht="15">
      <c r="A18" s="393"/>
      <c r="B18" s="394"/>
      <c r="C18" s="394"/>
      <c r="D18" s="394"/>
      <c r="E18" s="394">
        <f t="shared" si="0"/>
        <v>0</v>
      </c>
      <c r="F18" s="394"/>
      <c r="G18" s="394"/>
      <c r="H18" s="394"/>
      <c r="I18" s="394">
        <f t="shared" si="1"/>
        <v>0</v>
      </c>
      <c r="J18" s="394"/>
      <c r="K18" s="394"/>
      <c r="L18" s="898"/>
      <c r="N18" s="899"/>
      <c r="P18" s="799"/>
    </row>
    <row r="19" spans="1:16" ht="15">
      <c r="A19" s="393" t="s">
        <v>466</v>
      </c>
      <c r="B19" s="394">
        <v>0</v>
      </c>
      <c r="C19" s="394">
        <v>0</v>
      </c>
      <c r="D19" s="394">
        <v>0</v>
      </c>
      <c r="E19" s="394">
        <f t="shared" si="0"/>
        <v>0</v>
      </c>
      <c r="F19" s="394">
        <v>0</v>
      </c>
      <c r="G19" s="394">
        <v>0</v>
      </c>
      <c r="H19" s="394">
        <v>0</v>
      </c>
      <c r="I19" s="394">
        <f t="shared" si="1"/>
        <v>0</v>
      </c>
      <c r="J19" s="394">
        <f t="shared" si="2"/>
        <v>0</v>
      </c>
      <c r="K19" s="394">
        <v>0</v>
      </c>
      <c r="L19" s="898">
        <v>0.05</v>
      </c>
      <c r="N19" s="899"/>
      <c r="P19" s="799"/>
    </row>
    <row r="20" spans="1:16" ht="15">
      <c r="A20" s="393"/>
      <c r="B20" s="394"/>
      <c r="C20" s="394"/>
      <c r="D20" s="394"/>
      <c r="E20" s="394">
        <f t="shared" si="0"/>
        <v>0</v>
      </c>
      <c r="F20" s="394"/>
      <c r="G20" s="394"/>
      <c r="H20" s="394"/>
      <c r="I20" s="394">
        <f t="shared" si="1"/>
        <v>0</v>
      </c>
      <c r="J20" s="394"/>
      <c r="K20" s="394"/>
      <c r="L20" s="898"/>
      <c r="N20" s="899"/>
      <c r="P20" s="799"/>
    </row>
    <row r="21" spans="1:16" ht="15">
      <c r="A21" s="393" t="s">
        <v>467</v>
      </c>
      <c r="B21" s="394">
        <v>0</v>
      </c>
      <c r="C21" s="394">
        <v>0</v>
      </c>
      <c r="D21" s="394">
        <v>0</v>
      </c>
      <c r="E21" s="394">
        <f t="shared" si="0"/>
        <v>0</v>
      </c>
      <c r="F21" s="394">
        <v>0</v>
      </c>
      <c r="G21" s="394">
        <v>0</v>
      </c>
      <c r="H21" s="394">
        <v>0</v>
      </c>
      <c r="I21" s="394">
        <f t="shared" si="1"/>
        <v>0</v>
      </c>
      <c r="J21" s="394">
        <f t="shared" si="2"/>
        <v>0</v>
      </c>
      <c r="K21" s="394">
        <v>0</v>
      </c>
      <c r="L21" s="898">
        <v>0.2</v>
      </c>
      <c r="N21" s="899"/>
      <c r="P21" s="799"/>
    </row>
    <row r="22" spans="1:16" ht="15">
      <c r="A22" s="393"/>
      <c r="B22" s="394"/>
      <c r="C22" s="394"/>
      <c r="D22" s="394"/>
      <c r="E22" s="394">
        <f t="shared" si="0"/>
        <v>0</v>
      </c>
      <c r="F22" s="394"/>
      <c r="G22" s="394"/>
      <c r="H22" s="394"/>
      <c r="I22" s="394">
        <f t="shared" si="1"/>
        <v>0</v>
      </c>
      <c r="J22" s="394"/>
      <c r="K22" s="394"/>
      <c r="L22" s="898"/>
      <c r="N22" s="899"/>
      <c r="P22" s="799"/>
    </row>
    <row r="23" spans="1:16" ht="15">
      <c r="A23" s="393" t="s">
        <v>468</v>
      </c>
      <c r="B23" s="394">
        <v>188345</v>
      </c>
      <c r="C23" s="394">
        <v>5400000</v>
      </c>
      <c r="D23" s="394">
        <v>1933416</v>
      </c>
      <c r="E23" s="394">
        <f t="shared" si="0"/>
        <v>3654929</v>
      </c>
      <c r="F23" s="394">
        <v>18835</v>
      </c>
      <c r="G23" s="394">
        <f>ROUND(793859*0.05,0)+ROUND((E23-793859)*0.1,0)</f>
        <v>325800</v>
      </c>
      <c r="H23" s="394">
        <v>0</v>
      </c>
      <c r="I23" s="394">
        <f t="shared" si="1"/>
        <v>344635</v>
      </c>
      <c r="J23" s="394">
        <f t="shared" si="2"/>
        <v>3310294</v>
      </c>
      <c r="K23" s="394">
        <v>169510</v>
      </c>
      <c r="L23" s="898">
        <v>0.1</v>
      </c>
      <c r="N23" s="899"/>
      <c r="P23" s="799"/>
    </row>
    <row r="24" spans="1:16" ht="15">
      <c r="A24" s="393"/>
      <c r="B24" s="394"/>
      <c r="C24" s="394"/>
      <c r="D24" s="394"/>
      <c r="E24" s="394">
        <f t="shared" si="0"/>
        <v>0</v>
      </c>
      <c r="F24" s="394"/>
      <c r="G24" s="394"/>
      <c r="H24" s="394"/>
      <c r="I24" s="394">
        <f t="shared" si="1"/>
        <v>0</v>
      </c>
      <c r="J24" s="394"/>
      <c r="K24" s="394"/>
      <c r="L24" s="898"/>
      <c r="N24" s="899"/>
      <c r="P24" s="799"/>
    </row>
    <row r="25" spans="1:16" ht="15">
      <c r="A25" s="393" t="s">
        <v>469</v>
      </c>
      <c r="B25" s="394">
        <v>486954799</v>
      </c>
      <c r="C25" s="394">
        <v>5498972</v>
      </c>
      <c r="D25" s="394">
        <v>0</v>
      </c>
      <c r="E25" s="394">
        <f t="shared" si="0"/>
        <v>492453771</v>
      </c>
      <c r="F25" s="394">
        <v>297876936</v>
      </c>
      <c r="G25" s="394">
        <f>ROUND(3799766*0.03,0)+ROUND((E25-3799766)*0.06+6745,0)</f>
        <v>29439978</v>
      </c>
      <c r="H25" s="394">
        <v>0</v>
      </c>
      <c r="I25" s="394">
        <f t="shared" si="1"/>
        <v>327316914</v>
      </c>
      <c r="J25" s="394">
        <f t="shared" si="2"/>
        <v>165136857</v>
      </c>
      <c r="K25" s="394">
        <v>189077863</v>
      </c>
      <c r="L25" s="898">
        <v>0.06</v>
      </c>
      <c r="N25" s="899"/>
      <c r="P25" s="799"/>
    </row>
    <row r="26" spans="1:16" ht="15">
      <c r="A26" s="393"/>
      <c r="B26" s="394"/>
      <c r="C26" s="394"/>
      <c r="D26" s="394"/>
      <c r="E26" s="394">
        <f t="shared" si="0"/>
        <v>0</v>
      </c>
      <c r="F26" s="394"/>
      <c r="G26" s="394"/>
      <c r="H26" s="394"/>
      <c r="I26" s="394">
        <f t="shared" si="1"/>
        <v>0</v>
      </c>
      <c r="J26" s="394"/>
      <c r="K26" s="394"/>
      <c r="L26" s="898"/>
      <c r="N26" s="899"/>
      <c r="P26" s="799"/>
    </row>
    <row r="27" spans="1:16" ht="15">
      <c r="A27" s="393" t="s">
        <v>470</v>
      </c>
      <c r="B27" s="394">
        <v>0</v>
      </c>
      <c r="C27" s="394">
        <v>7027503</v>
      </c>
      <c r="D27" s="394">
        <v>0</v>
      </c>
      <c r="E27" s="394">
        <f t="shared" si="0"/>
        <v>7027503</v>
      </c>
      <c r="F27" s="394">
        <v>0</v>
      </c>
      <c r="G27" s="394">
        <f>ROUND(E27*0.1,0)</f>
        <v>702750</v>
      </c>
      <c r="H27" s="394">
        <v>0</v>
      </c>
      <c r="I27" s="394">
        <f t="shared" si="1"/>
        <v>702750</v>
      </c>
      <c r="J27" s="394">
        <f t="shared" si="2"/>
        <v>6324753</v>
      </c>
      <c r="K27" s="394">
        <v>0</v>
      </c>
      <c r="L27" s="898">
        <v>0.1</v>
      </c>
      <c r="N27" s="899"/>
      <c r="P27" s="799"/>
    </row>
    <row r="28" spans="1:16" ht="15">
      <c r="A28" s="393"/>
      <c r="B28" s="394"/>
      <c r="C28" s="394"/>
      <c r="D28" s="394"/>
      <c r="E28" s="394">
        <f t="shared" si="0"/>
        <v>0</v>
      </c>
      <c r="F28" s="394"/>
      <c r="G28" s="394"/>
      <c r="H28" s="394"/>
      <c r="I28" s="394">
        <f t="shared" si="1"/>
        <v>0</v>
      </c>
      <c r="J28" s="394"/>
      <c r="K28" s="394"/>
      <c r="L28" s="898"/>
      <c r="N28" s="899"/>
      <c r="P28" s="799"/>
    </row>
    <row r="29" spans="1:16" ht="15">
      <c r="A29" s="393" t="s">
        <v>471</v>
      </c>
      <c r="B29" s="394">
        <v>11271231</v>
      </c>
      <c r="C29" s="394">
        <v>1010152</v>
      </c>
      <c r="D29" s="394">
        <v>0</v>
      </c>
      <c r="E29" s="394">
        <f t="shared" si="0"/>
        <v>12281383</v>
      </c>
      <c r="F29" s="394">
        <v>3861741</v>
      </c>
      <c r="G29" s="394">
        <f>ROUND((E29-920)*0.1+919,0)</f>
        <v>1228965</v>
      </c>
      <c r="H29" s="394">
        <v>0</v>
      </c>
      <c r="I29" s="394">
        <f t="shared" si="1"/>
        <v>5090706</v>
      </c>
      <c r="J29" s="394">
        <f t="shared" si="2"/>
        <v>7190677</v>
      </c>
      <c r="K29" s="394">
        <v>7409490</v>
      </c>
      <c r="L29" s="898">
        <v>0.1</v>
      </c>
      <c r="N29" s="899"/>
      <c r="P29" s="799"/>
    </row>
    <row r="30" spans="1:16" ht="15">
      <c r="A30" s="393"/>
      <c r="B30" s="394"/>
      <c r="C30" s="394"/>
      <c r="D30" s="394"/>
      <c r="E30" s="394">
        <f t="shared" si="0"/>
        <v>0</v>
      </c>
      <c r="F30" s="394"/>
      <c r="G30" s="394"/>
      <c r="H30" s="394"/>
      <c r="I30" s="394">
        <f t="shared" si="1"/>
        <v>0</v>
      </c>
      <c r="J30" s="394"/>
      <c r="K30" s="394"/>
      <c r="L30" s="898"/>
      <c r="N30" s="899"/>
      <c r="P30" s="799"/>
    </row>
    <row r="31" spans="1:16" ht="15">
      <c r="A31" s="393" t="s">
        <v>472</v>
      </c>
      <c r="B31" s="394">
        <v>27128938</v>
      </c>
      <c r="C31" s="394">
        <v>0</v>
      </c>
      <c r="D31" s="394">
        <v>0</v>
      </c>
      <c r="E31" s="394">
        <f t="shared" si="0"/>
        <v>27128938</v>
      </c>
      <c r="F31" s="394">
        <v>26811166</v>
      </c>
      <c r="G31" s="394">
        <v>160258</v>
      </c>
      <c r="H31" s="394">
        <v>0</v>
      </c>
      <c r="I31" s="394">
        <f t="shared" si="1"/>
        <v>26971424</v>
      </c>
      <c r="J31" s="394">
        <f t="shared" si="2"/>
        <v>157514</v>
      </c>
      <c r="K31" s="394">
        <v>317772</v>
      </c>
      <c r="L31" s="898">
        <v>0.15</v>
      </c>
      <c r="N31" s="899"/>
      <c r="P31" s="799"/>
    </row>
    <row r="32" spans="1:16" ht="15">
      <c r="A32" s="393"/>
      <c r="B32" s="394"/>
      <c r="C32" s="394"/>
      <c r="D32" s="394"/>
      <c r="E32" s="394">
        <f t="shared" si="0"/>
        <v>0</v>
      </c>
      <c r="F32" s="394"/>
      <c r="G32" s="394"/>
      <c r="H32" s="394"/>
      <c r="I32" s="394">
        <f t="shared" si="1"/>
        <v>0</v>
      </c>
      <c r="J32" s="394"/>
      <c r="K32" s="394"/>
      <c r="L32" s="898"/>
      <c r="N32" s="899"/>
      <c r="P32" s="799"/>
    </row>
    <row r="33" spans="1:16" ht="15">
      <c r="A33" s="393" t="s">
        <v>473</v>
      </c>
      <c r="B33" s="394">
        <v>0</v>
      </c>
      <c r="C33" s="394">
        <v>0</v>
      </c>
      <c r="D33" s="394">
        <v>0</v>
      </c>
      <c r="E33" s="394">
        <f t="shared" si="0"/>
        <v>0</v>
      </c>
      <c r="F33" s="394">
        <v>0</v>
      </c>
      <c r="G33" s="394">
        <v>0</v>
      </c>
      <c r="H33" s="394">
        <v>0</v>
      </c>
      <c r="I33" s="394">
        <f t="shared" si="1"/>
        <v>0</v>
      </c>
      <c r="J33" s="394">
        <f t="shared" si="2"/>
        <v>0</v>
      </c>
      <c r="K33" s="394">
        <v>0</v>
      </c>
      <c r="L33" s="898">
        <v>0.1</v>
      </c>
      <c r="N33" s="899"/>
      <c r="P33" s="799"/>
    </row>
    <row r="34" spans="1:16" ht="15">
      <c r="A34" s="393"/>
      <c r="B34" s="394"/>
      <c r="C34" s="394"/>
      <c r="D34" s="394"/>
      <c r="E34" s="394">
        <f t="shared" si="0"/>
        <v>0</v>
      </c>
      <c r="F34" s="394"/>
      <c r="G34" s="394"/>
      <c r="H34" s="394"/>
      <c r="I34" s="394">
        <f t="shared" si="1"/>
        <v>0</v>
      </c>
      <c r="J34" s="394"/>
      <c r="K34" s="394"/>
      <c r="L34" s="898"/>
      <c r="N34" s="899"/>
      <c r="P34" s="799"/>
    </row>
    <row r="35" spans="1:16" ht="15">
      <c r="A35" s="393" t="s">
        <v>474</v>
      </c>
      <c r="B35" s="394">
        <v>29353696</v>
      </c>
      <c r="C35" s="394">
        <v>1173430</v>
      </c>
      <c r="D35" s="394">
        <v>0</v>
      </c>
      <c r="E35" s="394">
        <f t="shared" si="0"/>
        <v>30527126</v>
      </c>
      <c r="F35" s="394">
        <v>26957814</v>
      </c>
      <c r="G35" s="394">
        <v>234686</v>
      </c>
      <c r="H35" s="394">
        <v>0</v>
      </c>
      <c r="I35" s="394">
        <f t="shared" si="1"/>
        <v>27192500</v>
      </c>
      <c r="J35" s="394">
        <f t="shared" si="2"/>
        <v>3334626</v>
      </c>
      <c r="K35" s="394">
        <v>2395882</v>
      </c>
      <c r="L35" s="898">
        <v>0.2</v>
      </c>
      <c r="N35" s="899"/>
      <c r="P35" s="799"/>
    </row>
    <row r="36" spans="1:16" ht="15">
      <c r="A36" s="393"/>
      <c r="B36" s="394"/>
      <c r="C36" s="394"/>
      <c r="D36" s="394"/>
      <c r="E36" s="394">
        <f t="shared" si="0"/>
        <v>0</v>
      </c>
      <c r="F36" s="394"/>
      <c r="G36" s="394">
        <f t="shared" ref="G36" si="3">ROUND(E36*0.2,0)</f>
        <v>0</v>
      </c>
      <c r="H36" s="394"/>
      <c r="I36" s="394">
        <f t="shared" si="1"/>
        <v>0</v>
      </c>
      <c r="J36" s="394"/>
      <c r="K36" s="394"/>
      <c r="L36" s="898"/>
      <c r="N36" s="899"/>
      <c r="P36" s="799"/>
    </row>
    <row r="37" spans="1:16" ht="15">
      <c r="A37" s="393" t="s">
        <v>475</v>
      </c>
      <c r="B37" s="394">
        <v>38672507</v>
      </c>
      <c r="C37" s="394">
        <v>495875</v>
      </c>
      <c r="D37" s="394">
        <v>0</v>
      </c>
      <c r="E37" s="394">
        <f t="shared" si="0"/>
        <v>39168382</v>
      </c>
      <c r="F37" s="394">
        <v>36376270</v>
      </c>
      <c r="G37" s="394">
        <v>49588</v>
      </c>
      <c r="H37" s="394">
        <v>0</v>
      </c>
      <c r="I37" s="394">
        <f t="shared" si="1"/>
        <v>36425858</v>
      </c>
      <c r="J37" s="394">
        <f t="shared" si="2"/>
        <v>2742524</v>
      </c>
      <c r="K37" s="394">
        <v>2296237</v>
      </c>
      <c r="L37" s="898">
        <v>0.1</v>
      </c>
      <c r="N37" s="899"/>
      <c r="P37" s="799"/>
    </row>
    <row r="38" spans="1:16" ht="15">
      <c r="A38" s="393"/>
      <c r="B38" s="394"/>
      <c r="C38" s="394"/>
      <c r="D38" s="394"/>
      <c r="E38" s="394">
        <f t="shared" si="0"/>
        <v>0</v>
      </c>
      <c r="F38" s="394"/>
      <c r="G38" s="394">
        <f t="shared" ref="G38:G42" si="4">ROUND(E38*0.1,0)</f>
        <v>0</v>
      </c>
      <c r="H38" s="394"/>
      <c r="I38" s="394">
        <f t="shared" si="1"/>
        <v>0</v>
      </c>
      <c r="J38" s="394"/>
      <c r="K38" s="394"/>
      <c r="L38" s="898"/>
      <c r="N38" s="899"/>
      <c r="P38" s="799"/>
    </row>
    <row r="39" spans="1:16" ht="15">
      <c r="A39" s="393" t="s">
        <v>476</v>
      </c>
      <c r="B39" s="394">
        <v>279514</v>
      </c>
      <c r="C39" s="394">
        <v>0</v>
      </c>
      <c r="D39" s="394">
        <v>0</v>
      </c>
      <c r="E39" s="394">
        <f t="shared" si="0"/>
        <v>279514</v>
      </c>
      <c r="F39" s="934">
        <v>277014</v>
      </c>
      <c r="G39" s="394">
        <v>1397.57</v>
      </c>
      <c r="H39" s="394">
        <v>0</v>
      </c>
      <c r="I39" s="394">
        <f t="shared" si="1"/>
        <v>278411.57</v>
      </c>
      <c r="J39" s="394">
        <f t="shared" si="2"/>
        <v>1102.429999999993</v>
      </c>
      <c r="K39" s="394">
        <v>2500</v>
      </c>
      <c r="L39" s="898">
        <v>0.1</v>
      </c>
      <c r="N39" s="899"/>
      <c r="P39" s="799"/>
    </row>
    <row r="40" spans="1:16" ht="15">
      <c r="A40" s="393"/>
      <c r="B40" s="394"/>
      <c r="C40" s="394"/>
      <c r="D40" s="394"/>
      <c r="E40" s="394">
        <f t="shared" si="0"/>
        <v>0</v>
      </c>
      <c r="F40" s="394"/>
      <c r="G40" s="394">
        <f t="shared" si="4"/>
        <v>0</v>
      </c>
      <c r="H40" s="394"/>
      <c r="I40" s="394">
        <f t="shared" si="1"/>
        <v>0</v>
      </c>
      <c r="J40" s="394"/>
      <c r="K40" s="394"/>
      <c r="L40" s="898"/>
      <c r="N40" s="899"/>
      <c r="P40" s="799"/>
    </row>
    <row r="41" spans="1:16" ht="15">
      <c r="A41" s="393" t="s">
        <v>477</v>
      </c>
      <c r="B41" s="394">
        <v>0</v>
      </c>
      <c r="C41" s="394">
        <v>0</v>
      </c>
      <c r="D41" s="394">
        <v>0</v>
      </c>
      <c r="E41" s="394">
        <f t="shared" si="0"/>
        <v>0</v>
      </c>
      <c r="F41" s="394">
        <v>0</v>
      </c>
      <c r="G41" s="394">
        <f t="shared" si="4"/>
        <v>0</v>
      </c>
      <c r="H41" s="394">
        <v>0</v>
      </c>
      <c r="I41" s="394">
        <f t="shared" si="1"/>
        <v>0</v>
      </c>
      <c r="J41" s="394">
        <f t="shared" si="2"/>
        <v>0</v>
      </c>
      <c r="K41" s="394">
        <v>0</v>
      </c>
      <c r="L41" s="898"/>
      <c r="N41" s="899"/>
      <c r="O41" s="402">
        <v>2032340</v>
      </c>
      <c r="P41" s="799"/>
    </row>
    <row r="42" spans="1:16" ht="15">
      <c r="A42" s="393"/>
      <c r="B42" s="394"/>
      <c r="C42" s="394"/>
      <c r="D42" s="394"/>
      <c r="E42" s="394">
        <f t="shared" si="0"/>
        <v>0</v>
      </c>
      <c r="F42" s="394"/>
      <c r="G42" s="394">
        <f t="shared" si="4"/>
        <v>0</v>
      </c>
      <c r="H42" s="394"/>
      <c r="I42" s="394">
        <f t="shared" si="1"/>
        <v>0</v>
      </c>
      <c r="J42" s="394"/>
      <c r="K42" s="394"/>
      <c r="L42" s="898"/>
      <c r="N42" s="899"/>
      <c r="O42" s="402">
        <v>-858910</v>
      </c>
      <c r="P42" s="799"/>
    </row>
    <row r="43" spans="1:16" ht="15">
      <c r="A43" s="393" t="s">
        <v>478</v>
      </c>
      <c r="B43" s="394">
        <v>65402395</v>
      </c>
      <c r="C43" s="394">
        <v>1040216</v>
      </c>
      <c r="D43" s="394">
        <v>0</v>
      </c>
      <c r="E43" s="394">
        <f t="shared" si="0"/>
        <v>66442611</v>
      </c>
      <c r="F43" s="934">
        <v>60759160</v>
      </c>
      <c r="G43" s="394">
        <v>1505765</v>
      </c>
      <c r="H43" s="394">
        <v>0</v>
      </c>
      <c r="I43" s="394">
        <f t="shared" si="1"/>
        <v>62264925</v>
      </c>
      <c r="J43" s="394">
        <f t="shared" si="2"/>
        <v>4177686</v>
      </c>
      <c r="K43" s="394">
        <v>4643235</v>
      </c>
      <c r="L43" s="898">
        <v>0.1</v>
      </c>
      <c r="N43" s="899"/>
      <c r="O43" s="402">
        <v>-613833</v>
      </c>
      <c r="P43" s="799"/>
    </row>
    <row r="44" spans="1:16" ht="15">
      <c r="A44" s="393"/>
      <c r="B44" s="394"/>
      <c r="C44" s="394"/>
      <c r="D44" s="394"/>
      <c r="E44" s="394"/>
      <c r="F44" s="394"/>
      <c r="G44" s="394"/>
      <c r="H44" s="394"/>
      <c r="I44" s="394">
        <f t="shared" si="1"/>
        <v>0</v>
      </c>
      <c r="J44" s="394"/>
      <c r="K44" s="394"/>
      <c r="L44" s="898"/>
      <c r="N44" s="899"/>
      <c r="O44" s="402">
        <f>SUM(O41:O43)</f>
        <v>559597</v>
      </c>
    </row>
    <row r="45" spans="1:16" ht="15">
      <c r="A45" s="393"/>
      <c r="B45" s="394"/>
      <c r="C45" s="394"/>
      <c r="D45" s="394"/>
      <c r="E45" s="394"/>
      <c r="F45" s="394"/>
      <c r="G45" s="394"/>
      <c r="H45" s="394"/>
      <c r="I45" s="394">
        <f t="shared" si="1"/>
        <v>0</v>
      </c>
      <c r="J45" s="394"/>
      <c r="K45" s="394"/>
      <c r="L45" s="898"/>
      <c r="N45" s="899"/>
    </row>
    <row r="46" spans="1:16" s="380" customFormat="1" ht="15.75">
      <c r="A46" s="863" t="s">
        <v>479</v>
      </c>
      <c r="B46" s="597">
        <f t="shared" ref="B46:H46" si="5">SUM(B10:B45)</f>
        <v>928182866</v>
      </c>
      <c r="C46" s="597">
        <f t="shared" si="5"/>
        <v>32035433</v>
      </c>
      <c r="D46" s="597">
        <f t="shared" si="5"/>
        <v>1933416</v>
      </c>
      <c r="E46" s="597">
        <f t="shared" si="5"/>
        <v>958284883</v>
      </c>
      <c r="F46" s="597">
        <f t="shared" si="5"/>
        <v>505054721</v>
      </c>
      <c r="G46" s="597">
        <f t="shared" si="5"/>
        <v>39216823.57</v>
      </c>
      <c r="H46" s="597">
        <f t="shared" si="5"/>
        <v>0</v>
      </c>
      <c r="I46" s="394">
        <f t="shared" si="1"/>
        <v>544271544.57000005</v>
      </c>
      <c r="J46" s="597">
        <f t="shared" ref="J46:K48" si="6">+E46-I46</f>
        <v>414013338.42999995</v>
      </c>
      <c r="K46" s="342">
        <f>SUM(K10:K45)</f>
        <v>423128145</v>
      </c>
      <c r="L46" s="900"/>
      <c r="N46" s="405"/>
    </row>
    <row r="47" spans="1:16" ht="15">
      <c r="A47" s="393" t="s">
        <v>480</v>
      </c>
      <c r="B47" s="394">
        <v>0</v>
      </c>
      <c r="C47" s="394">
        <v>0</v>
      </c>
      <c r="D47" s="394">
        <v>0</v>
      </c>
      <c r="E47" s="394"/>
      <c r="F47" s="394"/>
      <c r="G47" s="394"/>
      <c r="H47" s="342"/>
      <c r="I47" s="394">
        <f t="shared" si="1"/>
        <v>0</v>
      </c>
      <c r="J47" s="394">
        <f t="shared" si="6"/>
        <v>0</v>
      </c>
      <c r="K47" s="394">
        <f t="shared" si="6"/>
        <v>0</v>
      </c>
      <c r="L47" s="898"/>
      <c r="N47" s="899"/>
    </row>
    <row r="48" spans="1:16" ht="15.75">
      <c r="A48" s="595" t="s">
        <v>12</v>
      </c>
      <c r="B48" s="529">
        <f t="shared" ref="B48:H48" si="7">+B46+B47</f>
        <v>928182866</v>
      </c>
      <c r="C48" s="529">
        <f t="shared" si="7"/>
        <v>32035433</v>
      </c>
      <c r="D48" s="529">
        <f t="shared" si="7"/>
        <v>1933416</v>
      </c>
      <c r="E48" s="529">
        <f t="shared" si="7"/>
        <v>958284883</v>
      </c>
      <c r="F48" s="529">
        <f t="shared" si="7"/>
        <v>505054721</v>
      </c>
      <c r="G48" s="529">
        <f t="shared" si="7"/>
        <v>39216823.57</v>
      </c>
      <c r="H48" s="529">
        <f t="shared" si="7"/>
        <v>0</v>
      </c>
      <c r="I48" s="394">
        <f t="shared" si="1"/>
        <v>544271544.57000005</v>
      </c>
      <c r="J48" s="529">
        <f t="shared" si="6"/>
        <v>414013338.42999995</v>
      </c>
      <c r="K48" s="342">
        <f t="shared" si="6"/>
        <v>91041382.570000052</v>
      </c>
      <c r="L48" s="901"/>
      <c r="M48" s="799"/>
      <c r="N48" s="899"/>
      <c r="O48" s="799"/>
      <c r="P48" s="799"/>
    </row>
    <row r="49" spans="1:13">
      <c r="A49" s="356"/>
      <c r="B49" s="352"/>
      <c r="C49" s="352"/>
      <c r="D49" s="352"/>
      <c r="E49" s="352"/>
      <c r="F49" s="352"/>
      <c r="G49" s="352"/>
      <c r="H49" s="352"/>
      <c r="I49" s="352"/>
      <c r="J49" s="352"/>
      <c r="K49" s="352"/>
    </row>
    <row r="50" spans="1:13">
      <c r="A50" s="356"/>
      <c r="B50" s="352"/>
      <c r="C50" s="352"/>
      <c r="D50" s="352"/>
      <c r="E50" s="352"/>
      <c r="F50" s="352"/>
      <c r="G50" s="352"/>
      <c r="H50" s="352"/>
      <c r="I50" s="352"/>
      <c r="J50" s="352"/>
      <c r="K50" s="352"/>
    </row>
    <row r="51" spans="1:13">
      <c r="A51" s="356"/>
      <c r="B51" s="570"/>
      <c r="C51" s="570"/>
      <c r="D51" s="570"/>
      <c r="E51" s="570"/>
      <c r="F51" s="352"/>
      <c r="G51" s="570"/>
      <c r="H51" s="352"/>
      <c r="I51" s="570"/>
      <c r="J51" s="352"/>
      <c r="K51" s="570"/>
    </row>
    <row r="52" spans="1:13">
      <c r="A52" s="1374" t="s">
        <v>20</v>
      </c>
      <c r="B52" s="1374"/>
      <c r="C52" s="1374"/>
      <c r="D52" s="1374"/>
      <c r="E52" s="1374"/>
      <c r="F52" s="1374"/>
      <c r="G52" s="1374"/>
      <c r="H52" s="1374"/>
      <c r="I52" s="1374"/>
      <c r="J52" s="1374"/>
      <c r="K52" s="1374"/>
    </row>
    <row r="53" spans="1:13">
      <c r="B53" s="876"/>
      <c r="E53" s="876"/>
      <c r="I53" s="876"/>
    </row>
    <row r="54" spans="1:13" ht="15">
      <c r="A54" s="37"/>
      <c r="B54" s="935" t="s">
        <v>486</v>
      </c>
      <c r="C54" s="935" t="s">
        <v>487</v>
      </c>
      <c r="D54" s="935" t="s">
        <v>488</v>
      </c>
      <c r="E54" s="935" t="s">
        <v>489</v>
      </c>
      <c r="F54" s="936" t="s">
        <v>490</v>
      </c>
      <c r="G54" s="276" t="s">
        <v>491</v>
      </c>
      <c r="I54" s="876"/>
      <c r="J54" s="876"/>
    </row>
    <row r="55" spans="1:13" ht="15">
      <c r="A55" s="37" t="s">
        <v>492</v>
      </c>
      <c r="B55" s="937">
        <v>4806341</v>
      </c>
      <c r="C55" s="937">
        <v>1026646</v>
      </c>
      <c r="D55" s="938">
        <v>1795725</v>
      </c>
      <c r="E55" s="937">
        <v>2332921</v>
      </c>
      <c r="F55" s="276">
        <v>2032340</v>
      </c>
      <c r="G55" s="936">
        <f>SUM(B55:F55)</f>
        <v>11993973</v>
      </c>
      <c r="J55" s="876"/>
      <c r="L55" s="876"/>
      <c r="M55" s="876"/>
    </row>
    <row r="56" spans="1:13" ht="15">
      <c r="A56" s="37" t="s">
        <v>493</v>
      </c>
      <c r="B56" s="35">
        <f>672514+20117</f>
        <v>692631</v>
      </c>
      <c r="C56" s="35">
        <v>13570</v>
      </c>
      <c r="D56" s="938">
        <f>11917865+4800000</f>
        <v>16717865</v>
      </c>
      <c r="E56" s="937"/>
      <c r="F56" s="276"/>
      <c r="G56" s="936">
        <f>SUM(B56:F56)</f>
        <v>17424066</v>
      </c>
    </row>
    <row r="57" spans="1:13" ht="15">
      <c r="A57" s="37" t="s">
        <v>494</v>
      </c>
      <c r="B57" s="35"/>
      <c r="C57" s="35"/>
      <c r="D57" s="938">
        <v>8124305</v>
      </c>
      <c r="E57" s="937">
        <f>1854921+478000</f>
        <v>2332921</v>
      </c>
      <c r="F57" s="276">
        <v>858910</v>
      </c>
      <c r="G57" s="936">
        <f>SUM(B57:F57)</f>
        <v>11316136</v>
      </c>
    </row>
    <row r="58" spans="1:13" ht="15">
      <c r="A58" s="37" t="s">
        <v>495</v>
      </c>
      <c r="B58" s="38">
        <f>B55+B56-B57</f>
        <v>5498972</v>
      </c>
      <c r="C58" s="38">
        <f t="shared" ref="C58:G58" si="8">C55+C56-C57</f>
        <v>1040216</v>
      </c>
      <c r="D58" s="38">
        <f t="shared" si="8"/>
        <v>10389285</v>
      </c>
      <c r="E58" s="38">
        <f t="shared" si="8"/>
        <v>0</v>
      </c>
      <c r="F58" s="38">
        <f t="shared" si="8"/>
        <v>1173430</v>
      </c>
      <c r="G58" s="38">
        <f t="shared" si="8"/>
        <v>18101903</v>
      </c>
    </row>
    <row r="59" spans="1:13">
      <c r="B59" s="876"/>
    </row>
    <row r="61" spans="1:13">
      <c r="B61" s="876"/>
    </row>
  </sheetData>
  <customSheetViews>
    <customSheetView guid="{B1076A3F-74CA-4685-9B64-0249438E4A9A}" showPageBreaks="1" fitToPage="1" printArea="1" view="pageBreakPreview">
      <pane xSplit="1" ySplit="8" topLeftCell="B45" state="frozen"/>
      <selection activeCell="K52" sqref="K52"/>
      <rowBreaks count="1" manualBreakCount="1">
        <brk id="55" max="10" man="1"/>
      </rowBreaks>
      <pageMargins left="0" right="0" top="0" bottom="0" header="0.15748031496063" footer="1.1023622047244099"/>
      <printOptions horizontalCentered="1" verticalCentered="1"/>
      <pageSetup paperSize="9" scale="68" orientation="landscape"/>
      <headerFooter alignWithMargins="0"/>
    </customSheetView>
    <customSheetView guid="{789595AE-36A2-4B02-81C2-3D94932E7381}" showPageBreaks="1" fitToPage="1" printArea="1" view="pageBreakPreview">
      <pane xSplit="1" ySplit="8" topLeftCell="B45" state="frozen"/>
      <selection activeCell="K52" sqref="K52"/>
      <rowBreaks count="1" manualBreakCount="1">
        <brk id="55" max="10" man="1"/>
      </rowBreaks>
      <pageMargins left="0" right="0" top="0" bottom="0" header="0.15748031496063" footer="1.1023622047244099"/>
      <printOptions horizontalCentered="1" verticalCentered="1"/>
      <pageSetup paperSize="9" scale="68" orientation="landscape"/>
      <headerFooter alignWithMargins="0"/>
    </customSheetView>
  </customSheetViews>
  <mergeCells count="18">
    <mergeCell ref="A1:K1"/>
    <mergeCell ref="A2:K2"/>
    <mergeCell ref="I3:J3"/>
    <mergeCell ref="B4:E4"/>
    <mergeCell ref="F4:I4"/>
    <mergeCell ref="L4:L6"/>
    <mergeCell ref="A52:K52"/>
    <mergeCell ref="A5:A6"/>
    <mergeCell ref="B5:B6"/>
    <mergeCell ref="C5:C6"/>
    <mergeCell ref="D5:D6"/>
    <mergeCell ref="E5:E6"/>
    <mergeCell ref="F5:F6"/>
    <mergeCell ref="G5:G6"/>
    <mergeCell ref="H5:H6"/>
    <mergeCell ref="I5:I6"/>
    <mergeCell ref="J5:J6"/>
    <mergeCell ref="K5:K6"/>
  </mergeCells>
  <printOptions horizontalCentered="1" verticalCentered="1"/>
  <pageMargins left="0" right="0" top="0" bottom="0" header="0.35433070866141703" footer="0.31496062992126"/>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71</vt:i4>
      </vt:variant>
      <vt:variant>
        <vt:lpstr>Named Ranges</vt:lpstr>
      </vt:variant>
      <vt:variant>
        <vt:i4>49</vt:i4>
      </vt:variant>
    </vt:vector>
  </HeadingPairs>
  <TitlesOfParts>
    <vt:vector size="120" baseType="lpstr">
      <vt:lpstr>(1) BS</vt:lpstr>
      <vt:lpstr>(2) IE</vt:lpstr>
      <vt:lpstr>(3) sch1&amp;2</vt:lpstr>
      <vt:lpstr>(4) sch3</vt:lpstr>
      <vt:lpstr>(5) Sub Sch. to Sch. 3</vt:lpstr>
      <vt:lpstr>(6) sch4</vt:lpstr>
      <vt:lpstr>(7) Sub Sch. to Sch. 4</vt:lpstr>
      <vt:lpstr>(8) sch-5</vt:lpstr>
      <vt:lpstr>(9) 5-A</vt:lpstr>
      <vt:lpstr>(10) 5-B</vt:lpstr>
      <vt:lpstr>(11) 5-C</vt:lpstr>
      <vt:lpstr>(12) 5-D</vt:lpstr>
      <vt:lpstr>(13) 5-E</vt:lpstr>
      <vt:lpstr>(14) 5-X</vt:lpstr>
      <vt:lpstr>(15) sch6</vt:lpstr>
      <vt:lpstr>(16) sch7</vt:lpstr>
      <vt:lpstr>(17) 7b</vt:lpstr>
      <vt:lpstr>(18) Annex. to Sch. 7</vt:lpstr>
      <vt:lpstr>(19) Annex. to Sch. 7A</vt:lpstr>
      <vt:lpstr>(20) Annex. to Sch. 7B</vt:lpstr>
      <vt:lpstr>(21) Annex.to Sch.7C</vt:lpstr>
      <vt:lpstr>(22) sch8</vt:lpstr>
      <vt:lpstr>(23) Sch9 (FINAL)</vt:lpstr>
      <vt:lpstr>(24) 9A</vt:lpstr>
      <vt:lpstr>(25) Annex. to Sch. 9A-1</vt:lpstr>
      <vt:lpstr>(26) 9B (Final)</vt:lpstr>
      <vt:lpstr>9B</vt:lpstr>
      <vt:lpstr>(27) PFMS Scheme Code</vt:lpstr>
      <vt:lpstr>(28) Sch10</vt:lpstr>
      <vt:lpstr>(29) Sch11</vt:lpstr>
      <vt:lpstr>(30) Sch12</vt:lpstr>
      <vt:lpstr>(31) Sch13</vt:lpstr>
      <vt:lpstr>(32) Sch14</vt:lpstr>
      <vt:lpstr>(33) Sch15 </vt:lpstr>
      <vt:lpstr>(34) Sch16</vt:lpstr>
      <vt:lpstr>(35) Sch17</vt:lpstr>
      <vt:lpstr>(36) Sch18</vt:lpstr>
      <vt:lpstr>Annx to Sch.18</vt:lpstr>
      <vt:lpstr>(37) Sch. 19</vt:lpstr>
      <vt:lpstr>(38) Annex. to Sch. 19</vt:lpstr>
      <vt:lpstr>(39) Sch20</vt:lpstr>
      <vt:lpstr>(40) Sch21</vt:lpstr>
      <vt:lpstr>(41) Sch 23</vt:lpstr>
      <vt:lpstr>Contents</vt:lpstr>
      <vt:lpstr>(42) R&amp;P (New)</vt:lpstr>
      <vt:lpstr>(43) R&amp;P New Annex.</vt:lpstr>
      <vt:lpstr>(44) R&amp;P Old</vt:lpstr>
      <vt:lpstr>(45) Annex. A</vt:lpstr>
      <vt:lpstr>(46) Annex. B</vt:lpstr>
      <vt:lpstr>(47) Annex.C</vt:lpstr>
      <vt:lpstr>(48) Annex.D</vt:lpstr>
      <vt:lpstr>(49) Annex. E</vt:lpstr>
      <vt:lpstr>(50) Annex. F</vt:lpstr>
      <vt:lpstr>(51) Annex. G</vt:lpstr>
      <vt:lpstr>Format of BRS (51)</vt:lpstr>
      <vt:lpstr>Ann.(I)</vt:lpstr>
      <vt:lpstr>Ann.(II)</vt:lpstr>
      <vt:lpstr>(52) Format of TSA</vt:lpstr>
      <vt:lpstr>Ann.I</vt:lpstr>
      <vt:lpstr>Ann.II</vt:lpstr>
      <vt:lpstr>Ann.III</vt:lpstr>
      <vt:lpstr>Ann.IV</vt:lpstr>
      <vt:lpstr>(53) Worksheet Expenses</vt:lpstr>
      <vt:lpstr>(54) Worksheet Income</vt:lpstr>
      <vt:lpstr>(55) W1</vt:lpstr>
      <vt:lpstr>(56) W2</vt:lpstr>
      <vt:lpstr>(57) W3</vt:lpstr>
      <vt:lpstr>(58) W4</vt:lpstr>
      <vt:lpstr>(59) W5</vt:lpstr>
      <vt:lpstr>(60) W6</vt:lpstr>
      <vt:lpstr>Sheet1</vt:lpstr>
      <vt:lpstr>'(1) BS'!Print_Area</vt:lpstr>
      <vt:lpstr>'(10) 5-B'!Print_Area</vt:lpstr>
      <vt:lpstr>'(11) 5-C'!Print_Area</vt:lpstr>
      <vt:lpstr>'(12) 5-D'!Print_Area</vt:lpstr>
      <vt:lpstr>'(13) 5-E'!Print_Area</vt:lpstr>
      <vt:lpstr>'(14) 5-X'!Print_Area</vt:lpstr>
      <vt:lpstr>'(15) sch6'!Print_Area</vt:lpstr>
      <vt:lpstr>'(16) sch7'!Print_Area</vt:lpstr>
      <vt:lpstr>'(17) 7b'!Print_Area</vt:lpstr>
      <vt:lpstr>'(19) Annex. to Sch. 7A'!Print_Area</vt:lpstr>
      <vt:lpstr>'(2) IE'!Print_Area</vt:lpstr>
      <vt:lpstr>'(20) Annex. to Sch. 7B'!Print_Area</vt:lpstr>
      <vt:lpstr>'(22) sch8'!Print_Area</vt:lpstr>
      <vt:lpstr>'(23) Sch9 (FINAL)'!Print_Area</vt:lpstr>
      <vt:lpstr>'(24) 9A'!Print_Area</vt:lpstr>
      <vt:lpstr>'(25) Annex. to Sch. 9A-1'!Print_Area</vt:lpstr>
      <vt:lpstr>'(26) 9B (Final)'!Print_Area</vt:lpstr>
      <vt:lpstr>'(28) Sch10'!Print_Area</vt:lpstr>
      <vt:lpstr>'(29) Sch11'!Print_Area</vt:lpstr>
      <vt:lpstr>'(3) sch1&amp;2'!Print_Area</vt:lpstr>
      <vt:lpstr>'(30) Sch12'!Print_Area</vt:lpstr>
      <vt:lpstr>'(31) Sch13'!Print_Area</vt:lpstr>
      <vt:lpstr>'(32) Sch14'!Print_Area</vt:lpstr>
      <vt:lpstr>'(33) Sch15 '!Print_Area</vt:lpstr>
      <vt:lpstr>'(34) Sch16'!Print_Area</vt:lpstr>
      <vt:lpstr>'(35) Sch17'!Print_Area</vt:lpstr>
      <vt:lpstr>'(36) Sch18'!Print_Area</vt:lpstr>
      <vt:lpstr>'(37) Sch. 19'!Print_Area</vt:lpstr>
      <vt:lpstr>'(39) Sch20'!Print_Area</vt:lpstr>
      <vt:lpstr>'(4) sch3'!Print_Area</vt:lpstr>
      <vt:lpstr>'(40) Sch21'!Print_Area</vt:lpstr>
      <vt:lpstr>'(41) Sch 23'!Print_Area</vt:lpstr>
      <vt:lpstr>'(42) R&amp;P (New)'!Print_Area</vt:lpstr>
      <vt:lpstr>'(44) R&amp;P Old'!Print_Area</vt:lpstr>
      <vt:lpstr>'(45) Annex. A'!Print_Area</vt:lpstr>
      <vt:lpstr>'(46) Annex. B'!Print_Area</vt:lpstr>
      <vt:lpstr>'(48) Annex.D'!Print_Area</vt:lpstr>
      <vt:lpstr>'(5) Sub Sch. to Sch. 3'!Print_Area</vt:lpstr>
      <vt:lpstr>'(51) Annex. G'!Print_Area</vt:lpstr>
      <vt:lpstr>'(52) Format of TSA'!Print_Area</vt:lpstr>
      <vt:lpstr>'(6) sch4'!Print_Area</vt:lpstr>
      <vt:lpstr>'(7) Sub Sch. to Sch. 4'!Print_Area</vt:lpstr>
      <vt:lpstr>'(8) sch-5'!Print_Area</vt:lpstr>
      <vt:lpstr>'(9) 5-A'!Print_Area</vt:lpstr>
      <vt:lpstr>'9B'!Print_Area</vt:lpstr>
      <vt:lpstr>'Ann.(I)'!Print_Area</vt:lpstr>
      <vt:lpstr>Ann.III!Print_Area</vt:lpstr>
      <vt:lpstr>Ann.IV!Print_Area</vt:lpstr>
      <vt:lpstr>Contents!Print_Area</vt:lpstr>
    </vt:vector>
  </TitlesOfParts>
  <Company>ZONAL CO-ORDINATING UNIT VIII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ZONAL</dc:creator>
  <cp:lastModifiedBy>Acer computer</cp:lastModifiedBy>
  <cp:lastPrinted>2023-07-03T04:39:33Z</cp:lastPrinted>
  <dcterms:created xsi:type="dcterms:W3CDTF">2004-06-15T05:54:00Z</dcterms:created>
  <dcterms:modified xsi:type="dcterms:W3CDTF">2023-08-31T05:09:31Z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1033-11.2.0.11536</vt:lpwstr>
  </property>
  <property fmtid="{D5CDD505-2E9C-101B-9397-08002B2CF9AE}" pid="3" name="ICV">
    <vt:lpwstr>2A7726290D784F86B9B75E119DCC6000</vt:lpwstr>
  </property>
</Properties>
</file>